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01.01.2013" sheetId="1" r:id="rId1"/>
  </sheets>
  <definedNames>
    <definedName name="_xlnm.Print_Titles" localSheetId="0">'01.01.2013'!$A:$A</definedName>
  </definedNames>
  <calcPr fullCalcOnLoad="1"/>
</workbook>
</file>

<file path=xl/sharedStrings.xml><?xml version="1.0" encoding="utf-8"?>
<sst xmlns="http://schemas.openxmlformats.org/spreadsheetml/2006/main" count="211" uniqueCount="128">
  <si>
    <t>Бальная оценка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</si>
  <si>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</si>
  <si>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</si>
  <si>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</si>
  <si>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</si>
  <si>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</si>
  <si>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</si>
  <si>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</si>
  <si>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</si>
  <si>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Нi - уточненный годовой план налоговых доходов по дополнительным нормативам отчислений</t>
  </si>
  <si>
    <t>Предельное значение индикатора</t>
  </si>
  <si>
    <t>≤0,05</t>
  </si>
  <si>
    <t>≤0,15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</si>
  <si>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</si>
  <si>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</si>
  <si>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</si>
  <si>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</si>
  <si>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</si>
  <si>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</si>
  <si>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t>≤0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</si>
  <si>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</si>
  <si>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</si>
  <si>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t>2 Знаменское с/п</t>
  </si>
  <si>
    <t>4 Кугушергское с/п</t>
  </si>
  <si>
    <t>9 Сердежское с/п</t>
  </si>
  <si>
    <t>10 Шкаланское с/п</t>
  </si>
  <si>
    <t>5 Никольское с/п</t>
  </si>
  <si>
    <t>6 Никулятское с/п</t>
  </si>
  <si>
    <t>7 Опытнопольское с/п</t>
  </si>
  <si>
    <t>8 Салобелякское с/п</t>
  </si>
  <si>
    <t>3 Кугальское с/п</t>
  </si>
  <si>
    <t>1 Городское поселение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</si>
  <si>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поселения"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</si>
  <si>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Бi – уточненный годовой план доходов бюджета на конец отчетного периода</t>
  </si>
  <si>
    <t>Bi – уточненный годовой план безвозмездных поступлений на конец отчетного периода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</si>
  <si>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</si>
  <si>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</si>
  <si>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</si>
  <si>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поселениям,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</si>
  <si>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</si>
  <si>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</si>
  <si>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Аi – фактический объем выплат по муниципальным гарантиям в i-м поселении на конец отчетного периода</t>
  </si>
  <si>
    <t>А4i 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районного бюджета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</si>
  <si>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</si>
  <si>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средств, поступивших из районого бюджета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</si>
  <si>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израйонного бюджета</t>
  </si>
  <si>
    <t>Аi – объем просроченной кредиторской задолженности в i-м поселении на конец отчетного периода</t>
  </si>
  <si>
    <t>Поселения ИТОГО:</t>
  </si>
  <si>
    <t>Наименование поселения</t>
  </si>
  <si>
    <t>Приложение №2 к Порядку</t>
  </si>
  <si>
    <t>Бальная оценка    1 если &lt;=1;    0 если&gt;1</t>
  </si>
  <si>
    <t xml:space="preserve">Бальная оценка          1  если &lt;=0,15;   0 если &gt;0,15  </t>
  </si>
  <si>
    <t>Бальная оценка                  1 если &lt;=1; 0 если &gt;1</t>
  </si>
  <si>
    <t>Бальная оценка                  1 если &lt;=1;  0 если &gt;1</t>
  </si>
  <si>
    <t xml:space="preserve">Бальная оценка             -1 если &gt;0,     </t>
  </si>
  <si>
    <t>Бальная оценка                   1 если=0;    0 если &gt;0</t>
  </si>
  <si>
    <t>Бальная оценка (1 если &gt;=0,7&lt;=1,3;      0,5 если &gt;=0,5&lt;0,7    &gt;1,3&lt;=1,5;    0 если &lt; 0,5&gt;1,5</t>
  </si>
  <si>
    <t>Бальная оценка         (-1&gt;0)</t>
  </si>
  <si>
    <t>Бальная оценка          (0;-1 если &gt;0)</t>
  </si>
  <si>
    <t>Бальная оценка (0;  -1  если&gt;0)</t>
  </si>
  <si>
    <t>≤0,1</t>
  </si>
  <si>
    <r>
      <t xml:space="preserve">Р7 Сохранение на безопасном уровне долговой нагрузки в бюджете поселения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</si>
  <si>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муниципального долга поселения на конец отчетного финансового года</t>
  </si>
  <si>
    <t>Б i –фактический объем доходов бюджета за отчетный финансовый год в поселении без учета безвозмездных роступлений и налоговых доходов по дополнительным нормативам отчислений</t>
  </si>
  <si>
    <t>Бальная оценка                   0 если &lt;=60; -1 если &gt;60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</si>
  <si>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</si>
  <si>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Б2i – фактический объем предоставленных  муниципальных гарантий в i- поселении на конец отчетного периода</t>
  </si>
  <si>
    <t>Б1i - задолженность по предоставленным муниципальным гарантиям в i-м поселении на начало отчетного года</t>
  </si>
  <si>
    <r>
      <t xml:space="preserve">Р9 Соотношение выплат по муниципальным гарантиям к общему объему предоставленных гарантий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</si>
  <si>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Бальная оценка                3 если &gt;=0,9;      2  если &gt;=0,7&lt;0,9;  0  если &gt;=0,5&lt;0,7;       -1 если &lt;0,5      </t>
  </si>
  <si>
    <r>
      <t xml:space="preserve">Р10 Удельный вес расходов бюджета, формируемых в рамках программ, в общем объеме расходов бюджета поселения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</si>
  <si>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Аi – исполнение бюджета i-го поселения за отчетный финансовый год  по налоговым и неналоговым доходам </t>
  </si>
  <si>
    <r>
      <t xml:space="preserve">Р11 Исполнение бюджета поселения по налоговым и неналоговым доходам  к первоначальному объему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</si>
  <si>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первоначальный план в соответствии с решением о бюджете на отчетный финансовый год по налоговым и неналоговым доходам в i-м поселении</t>
  </si>
  <si>
    <t>Бальная оценка                                                                  0 если &gt;=0,9&lt;=1,1,      -1 если   &lt;0,9&gt; 1,1</t>
  </si>
  <si>
    <r>
      <t xml:space="preserve">Р12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</si>
  <si>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r>
      <t xml:space="preserve">Р13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</si>
  <si>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Аi – наличие фактов использования средств не по целевому назначению 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(Количество)</t>
  </si>
  <si>
    <t>Бальная оценка (0 если &lt;5; 1 если =5)</t>
  </si>
  <si>
    <r>
      <t xml:space="preserve">Р14 Наличие фактов использования средств не по целевому назначению,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</si>
  <si>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Р15 Размещение в средствах массовой информации и (или) на официальном сайте администрации (информационном стенде)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</si>
  <si>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Аi –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</si>
  <si>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16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</si>
  <si>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17 Динамика задолженности по налоговым платежам (без учета пеней и штрафных санкций) в поселении</t>
  </si>
  <si>
    <t>Аi –сумма задолженности по налоговым платежам (без учета пеней и штрафных санкций) в бюджет поселения на конец отчетного периода</t>
  </si>
  <si>
    <t>Бi –сумма задолженности по налоговым платежам (без учета пеней и штрафных санкций) в бюджет поселения на начало отчетного года</t>
  </si>
  <si>
    <t>Бальная оценка 1 если &lt;1; 0 если =1; -1 если &gt;1&lt;=1,5;  -2 если &gt;1,5</t>
  </si>
  <si>
    <t>Р18 Составление проекта бюджета на очередной финансовый год и плановый период</t>
  </si>
  <si>
    <t>Аi – принятие в текущем году проекта бюджета на три года</t>
  </si>
  <si>
    <t>Р19  Своевременность представления бюджетной отчетности по перечню форм, входящих в состав месячной, квартальной и годовой отчетности</t>
  </si>
  <si>
    <t>Аi – наличие фактов нарушения сроков представления бюджетной отчетности</t>
  </si>
  <si>
    <t>Р20 Наличие муниципальных унитарных предприятий, в отношении которых введена процедура банкротства в текущем финансовом году</t>
  </si>
  <si>
    <t>Аi – наличие муниципальных унитарных предприятий, в отношении которых введена процедура банкротства в текущем финансовом году</t>
  </si>
  <si>
    <t>ИТОГО</t>
  </si>
  <si>
    <t>Бi – исполнение бюджета по расходам на конец отчетного периода</t>
  </si>
  <si>
    <t>Бi -фактическое поступление доходов бюджета поселения на конец отчетного периодда</t>
  </si>
  <si>
    <t>Bi – фактическое поступлениебезвозмездных поступлений на конец отчетного периода</t>
  </si>
  <si>
    <t>Аi- фактический объем муниципального долга на конец отчетного года</t>
  </si>
  <si>
    <t>Аi- фактический объем расходов на обслуживание муниципального долга на конец отчетного периода</t>
  </si>
  <si>
    <t>Б i –фактический  объем расходов бюджета поселения на конец отчетного периода</t>
  </si>
  <si>
    <t xml:space="preserve">Bi – фактическая сумма, направляемая в отчетном периоде на погашение долговых обязательств поселения </t>
  </si>
  <si>
    <t>Аi - уточненный план расходов на содержание органов местного самоуправления поселения</t>
  </si>
  <si>
    <t>Б i – утвержденный Правительством области норматив формирования расходов на содержание органов местного самоуправления поселения</t>
  </si>
  <si>
    <t>Бальная оценка                  O1 если &lt;=1;   0   если&gt;1</t>
  </si>
  <si>
    <t>Бальная оценка  1, если &lt;0,1 (0,5); 0, если &gt;0,1 (0,05)</t>
  </si>
  <si>
    <t>≤0,60</t>
  </si>
  <si>
    <t>Bi – фактический объем расходов поселения, осуществляемый за счет субвенций, предоставляемых из бюджетов другого уровня на конец отчетного периода (АК иВУ)</t>
  </si>
  <si>
    <t>Аi – исполнение бюджета   по расходам, формируемым в рамках целевых программ, на конец отчетного периода</t>
  </si>
  <si>
    <t>Аi- фактический размер  дефицита бюджета  на конец отчетного периода</t>
  </si>
  <si>
    <t>Средства от продажи акций, снижение остатков средств на счетах, бюджетные кредиты</t>
  </si>
  <si>
    <t>Hi - фактическое поступление налоговых доходов по дополнительным нормативам отчислений</t>
  </si>
  <si>
    <t>Бюджетные кредиты</t>
  </si>
  <si>
    <t>Расчет целевого значения индикатора  Аi/(Дi-Гi-Рi) = (гр.2-6)/(гр.3-4-5)</t>
  </si>
  <si>
    <t>Расчет целевого значения индикатора  Аi/Вi = гр.21/ гр.22</t>
  </si>
  <si>
    <t>Расчет целевого значения индикатора   Аi/(Бi-Вi) =гр.26/(гр.27-гр.28)</t>
  </si>
  <si>
    <t>Расчет целевого значения индикатора    Аi/(Бi+Вi) = гр.32/ (гр.33+гр.34)</t>
  </si>
  <si>
    <t>Расчет целевого значения индикатора    Аi/Бi = гр.43/гр.44</t>
  </si>
  <si>
    <t>Расчет целевого значения индикатора     Аi+Бi+Вi+Дi = гр.48+49+50+51</t>
  </si>
  <si>
    <t>Расчет целевого значения индикатора              Аi/(Б1i+Б2i) = гр.55/(гр.56+гр.57)</t>
  </si>
  <si>
    <t>Расчет целевого значения индикатора     Аi/Бi            = (гр.61/гр.62)</t>
  </si>
  <si>
    <t>Расчет целевого значения индикатора   Аi/(Бi-Вi-Нi) = гр.10/(гр.11-гр.13-гр.15), по итогам года гр.11/(гр.12-гр.14-гр.16)</t>
  </si>
  <si>
    <t>Расчет целевого значения индикатора  Аi/Бi = (гр.38 /гр.39)</t>
  </si>
  <si>
    <t>Расчет целевого значения индикатора    Аi/Бi = гр.65/гр.66</t>
  </si>
  <si>
    <t>Расчет целевого значения индикатора   А4i / ((А1i+А2i+А3i) / 3) = гр.69/((гр.70+гр.71+гр.72)/3)</t>
  </si>
  <si>
    <t>Расчет целевого значения индикатора     Пi+Бi+Оi+Сi+Чi = (гр.79+гр.80+гр.81+гр.82+гр.83)</t>
  </si>
  <si>
    <t>Расчет целевого значения индикатора     Ai/Бi =         (гр.88/гр.89)</t>
  </si>
  <si>
    <t xml:space="preserve">Аi - фактический объем муниципального долга на конец отчетного периода </t>
  </si>
  <si>
    <t>Мониторинг оценки  качества организации и осуществления бюджетного процесса по итогам исполнения  бюджетов поселений Яранского района за   2012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</si>
</sst>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2" fillId="34" borderId="11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68" fontId="2" fillId="3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justify" vertical="top"/>
    </xf>
    <xf numFmtId="0" fontId="4" fillId="0" borderId="10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distributed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7"/>
  <sheetViews>
    <sheetView tabSelected="1" zoomScalePageLayoutView="0" workbookViewId="0" topLeftCell="A1">
      <pane xSplit="1" ySplit="3" topLeftCell="CN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T13" sqref="CT13:CT17"/>
    </sheetView>
  </sheetViews>
  <sheetFormatPr defaultColWidth="9.00390625" defaultRowHeight="12.75"/>
  <cols>
    <col min="1" max="1" width="23.75390625" style="0" customWidth="1"/>
    <col min="2" max="2" width="11.75390625" style="0" bestFit="1" customWidth="1"/>
    <col min="22" max="22" width="10.75390625" style="0" bestFit="1" customWidth="1"/>
    <col min="35" max="35" width="10.875" style="0" customWidth="1"/>
    <col min="40" max="40" width="10.375" style="0" customWidth="1"/>
    <col min="44" max="44" width="12.375" style="0" customWidth="1"/>
    <col min="52" max="52" width="9.75390625" style="0" customWidth="1"/>
    <col min="58" max="58" width="9.625" style="0" customWidth="1"/>
    <col min="59" max="59" width="13.75390625" style="0" customWidth="1"/>
    <col min="61" max="61" width="11.75390625" style="0" customWidth="1"/>
    <col min="62" max="62" width="10.875" style="0" customWidth="1"/>
    <col min="64" max="64" width="11.375" style="0" customWidth="1"/>
    <col min="68" max="68" width="11.25390625" style="0" customWidth="1"/>
    <col min="77" max="77" width="15.125" style="0" customWidth="1"/>
    <col min="78" max="78" width="11.875" style="0" customWidth="1"/>
    <col min="86" max="86" width="16.375" style="0" customWidth="1"/>
    <col min="87" max="87" width="14.125" style="0" customWidth="1"/>
    <col min="90" max="90" width="10.625" style="0" customWidth="1"/>
  </cols>
  <sheetData>
    <row r="1" spans="1:113" s="85" customFormat="1" ht="12.75">
      <c r="A1" s="72"/>
      <c r="B1" s="73"/>
      <c r="C1" s="73"/>
      <c r="D1" s="73"/>
      <c r="E1" s="74"/>
      <c r="F1" s="74"/>
      <c r="G1" s="75"/>
      <c r="H1" s="74"/>
      <c r="I1" s="76"/>
      <c r="J1" s="73"/>
      <c r="K1" s="73"/>
      <c r="L1" s="73"/>
      <c r="M1" s="78"/>
      <c r="N1" s="78" t="s">
        <v>49</v>
      </c>
      <c r="O1" s="76"/>
      <c r="P1" s="76"/>
      <c r="Q1" s="76"/>
      <c r="R1" s="77"/>
      <c r="S1" s="78"/>
      <c r="T1" s="76"/>
      <c r="U1" s="73"/>
      <c r="V1" s="73"/>
      <c r="W1" s="75"/>
      <c r="X1" s="74"/>
      <c r="Y1" s="76"/>
      <c r="Z1" s="79"/>
      <c r="AA1" s="73"/>
      <c r="AB1" s="73"/>
      <c r="AC1" s="75"/>
      <c r="AD1" s="73"/>
      <c r="AE1" s="75"/>
      <c r="AF1" s="72"/>
      <c r="AG1" s="80"/>
      <c r="AH1" s="73"/>
      <c r="AI1" s="75"/>
      <c r="AJ1" s="81"/>
      <c r="AK1" s="76"/>
      <c r="AL1" s="73"/>
      <c r="AM1" s="73"/>
      <c r="AN1" s="75"/>
      <c r="AO1" s="73"/>
      <c r="AP1" s="73"/>
      <c r="AQ1" s="73"/>
      <c r="AR1" s="73"/>
      <c r="AS1" s="82"/>
      <c r="AT1" s="76"/>
      <c r="AU1" s="76"/>
      <c r="AV1" s="73"/>
      <c r="AW1" s="73"/>
      <c r="AX1" s="73"/>
      <c r="AY1" s="73"/>
      <c r="AZ1" s="73"/>
      <c r="BA1" s="73"/>
      <c r="BB1" s="76"/>
      <c r="BC1" s="73"/>
      <c r="BD1" s="73"/>
      <c r="BE1" s="73"/>
      <c r="BF1" s="73"/>
      <c r="BG1" s="83"/>
      <c r="BH1" s="74"/>
      <c r="BI1" s="73"/>
      <c r="BJ1" s="73"/>
      <c r="BK1" s="75"/>
      <c r="BL1" s="73"/>
      <c r="BM1" s="73"/>
      <c r="BN1" s="73"/>
      <c r="BO1" s="75"/>
      <c r="BP1" s="76"/>
      <c r="BQ1" s="73"/>
      <c r="BR1" s="73"/>
      <c r="BS1" s="75"/>
      <c r="BT1" s="76"/>
      <c r="BU1" s="76"/>
      <c r="BV1" s="76"/>
      <c r="BW1" s="73"/>
      <c r="BX1" s="73"/>
      <c r="BY1" s="84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</row>
    <row r="2" spans="1:113" ht="36.75" customHeight="1">
      <c r="A2" s="51"/>
      <c r="B2" s="121" t="s">
        <v>127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"/>
      <c r="T2" s="105"/>
      <c r="U2" s="106"/>
      <c r="V2" s="106"/>
      <c r="W2" s="106"/>
      <c r="X2" s="106"/>
      <c r="Y2" s="106"/>
      <c r="Z2" s="107"/>
      <c r="AA2" s="107"/>
      <c r="AB2" s="107"/>
      <c r="AC2" s="107"/>
      <c r="AD2" s="107"/>
      <c r="AE2" s="107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08"/>
      <c r="BB2" s="105"/>
      <c r="BC2" s="122"/>
      <c r="BD2" s="122"/>
      <c r="BE2" s="122"/>
      <c r="BF2" s="122"/>
      <c r="BG2" s="122"/>
      <c r="BH2" s="109"/>
      <c r="BI2" s="108"/>
      <c r="BJ2" s="108"/>
      <c r="BK2" s="110"/>
      <c r="BL2" s="108"/>
      <c r="BM2" s="117"/>
      <c r="BN2" s="117"/>
      <c r="BO2" s="117"/>
      <c r="BP2" s="117"/>
      <c r="BQ2" s="108"/>
      <c r="BR2" s="108"/>
      <c r="BS2" s="110"/>
      <c r="BT2" s="105"/>
      <c r="BU2" s="105"/>
      <c r="BV2" s="105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91.5" customHeight="1">
      <c r="A3" s="118" t="s">
        <v>48</v>
      </c>
      <c r="B3" s="116" t="s">
        <v>32</v>
      </c>
      <c r="C3" s="116"/>
      <c r="D3" s="116"/>
      <c r="E3" s="116"/>
      <c r="F3" s="116"/>
      <c r="G3" s="116"/>
      <c r="H3" s="116"/>
      <c r="I3" s="116"/>
      <c r="J3" s="120" t="s">
        <v>20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16" t="s">
        <v>21</v>
      </c>
      <c r="V3" s="116"/>
      <c r="W3" s="116"/>
      <c r="X3" s="116"/>
      <c r="Y3" s="116"/>
      <c r="Z3" s="116" t="s">
        <v>16</v>
      </c>
      <c r="AA3" s="116"/>
      <c r="AB3" s="116"/>
      <c r="AC3" s="116"/>
      <c r="AD3" s="116"/>
      <c r="AE3" s="116"/>
      <c r="AF3" s="116" t="s">
        <v>17</v>
      </c>
      <c r="AG3" s="116"/>
      <c r="AH3" s="116"/>
      <c r="AI3" s="116"/>
      <c r="AJ3" s="116"/>
      <c r="AK3" s="116"/>
      <c r="AL3" s="116" t="s">
        <v>18</v>
      </c>
      <c r="AM3" s="116"/>
      <c r="AN3" s="116"/>
      <c r="AO3" s="116"/>
      <c r="AP3" s="116"/>
      <c r="AQ3" s="116" t="s">
        <v>61</v>
      </c>
      <c r="AR3" s="116"/>
      <c r="AS3" s="116"/>
      <c r="AT3" s="116"/>
      <c r="AU3" s="116"/>
      <c r="AV3" s="116" t="s">
        <v>65</v>
      </c>
      <c r="AW3" s="116"/>
      <c r="AX3" s="116"/>
      <c r="AY3" s="116"/>
      <c r="AZ3" s="116"/>
      <c r="BA3" s="116"/>
      <c r="BB3" s="116"/>
      <c r="BC3" s="116" t="s">
        <v>68</v>
      </c>
      <c r="BD3" s="116"/>
      <c r="BE3" s="116"/>
      <c r="BF3" s="116"/>
      <c r="BG3" s="116"/>
      <c r="BH3" s="116"/>
      <c r="BI3" s="116" t="s">
        <v>70</v>
      </c>
      <c r="BJ3" s="116"/>
      <c r="BK3" s="116"/>
      <c r="BL3" s="116"/>
      <c r="BM3" s="116" t="s">
        <v>72</v>
      </c>
      <c r="BN3" s="116"/>
      <c r="BO3" s="116"/>
      <c r="BP3" s="116"/>
      <c r="BQ3" s="116" t="s">
        <v>75</v>
      </c>
      <c r="BR3" s="116"/>
      <c r="BS3" s="116"/>
      <c r="BT3" s="116"/>
      <c r="BU3" s="116"/>
      <c r="BV3" s="116"/>
      <c r="BW3" s="116" t="s">
        <v>76</v>
      </c>
      <c r="BX3" s="116"/>
      <c r="BY3" s="116" t="s">
        <v>79</v>
      </c>
      <c r="BZ3" s="116"/>
      <c r="CA3" s="116" t="s">
        <v>80</v>
      </c>
      <c r="CB3" s="116"/>
      <c r="CC3" s="116"/>
      <c r="CD3" s="116"/>
      <c r="CE3" s="116"/>
      <c r="CF3" s="116"/>
      <c r="CG3" s="116"/>
      <c r="CH3" s="116" t="s">
        <v>82</v>
      </c>
      <c r="CI3" s="116"/>
      <c r="CJ3" s="116" t="s">
        <v>83</v>
      </c>
      <c r="CK3" s="116"/>
      <c r="CL3" s="116"/>
      <c r="CM3" s="116"/>
      <c r="CN3" s="116" t="s">
        <v>87</v>
      </c>
      <c r="CO3" s="116"/>
      <c r="CP3" s="116" t="s">
        <v>89</v>
      </c>
      <c r="CQ3" s="116"/>
      <c r="CR3" s="116" t="s">
        <v>91</v>
      </c>
      <c r="CS3" s="116"/>
      <c r="CT3" s="113" t="s">
        <v>93</v>
      </c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</row>
    <row r="4" spans="1:113" ht="161.25" customHeight="1">
      <c r="A4" s="119"/>
      <c r="B4" s="103" t="s">
        <v>108</v>
      </c>
      <c r="C4" s="57" t="s">
        <v>6</v>
      </c>
      <c r="D4" s="57" t="s">
        <v>7</v>
      </c>
      <c r="E4" s="97" t="s">
        <v>8</v>
      </c>
      <c r="F4" s="111" t="s">
        <v>109</v>
      </c>
      <c r="G4" s="87" t="s">
        <v>112</v>
      </c>
      <c r="H4" s="97" t="s">
        <v>10</v>
      </c>
      <c r="I4" s="57" t="s">
        <v>104</v>
      </c>
      <c r="J4" s="57" t="s">
        <v>126</v>
      </c>
      <c r="K4" s="57" t="s">
        <v>33</v>
      </c>
      <c r="L4" s="57" t="s">
        <v>95</v>
      </c>
      <c r="M4" s="87" t="s">
        <v>34</v>
      </c>
      <c r="N4" s="87" t="s">
        <v>96</v>
      </c>
      <c r="O4" s="57" t="s">
        <v>9</v>
      </c>
      <c r="P4" s="103" t="s">
        <v>110</v>
      </c>
      <c r="Q4" s="103" t="s">
        <v>111</v>
      </c>
      <c r="R4" s="87" t="s">
        <v>120</v>
      </c>
      <c r="S4" s="57" t="s">
        <v>10</v>
      </c>
      <c r="T4" s="57" t="s">
        <v>103</v>
      </c>
      <c r="U4" s="57" t="s">
        <v>97</v>
      </c>
      <c r="V4" s="57" t="s">
        <v>15</v>
      </c>
      <c r="W4" s="87" t="s">
        <v>113</v>
      </c>
      <c r="X4" s="97" t="s">
        <v>10</v>
      </c>
      <c r="Y4" s="57" t="s">
        <v>50</v>
      </c>
      <c r="Z4" s="98" t="s">
        <v>98</v>
      </c>
      <c r="AA4" s="57" t="s">
        <v>99</v>
      </c>
      <c r="AB4" s="57" t="s">
        <v>106</v>
      </c>
      <c r="AC4" s="87" t="s">
        <v>114</v>
      </c>
      <c r="AD4" s="57" t="s">
        <v>10</v>
      </c>
      <c r="AE4" s="87" t="s">
        <v>51</v>
      </c>
      <c r="AF4" s="57" t="s">
        <v>35</v>
      </c>
      <c r="AG4" s="86" t="s">
        <v>36</v>
      </c>
      <c r="AH4" s="57" t="s">
        <v>100</v>
      </c>
      <c r="AI4" s="87" t="s">
        <v>115</v>
      </c>
      <c r="AJ4" s="57" t="s">
        <v>10</v>
      </c>
      <c r="AK4" s="87" t="s">
        <v>52</v>
      </c>
      <c r="AL4" s="57" t="s">
        <v>101</v>
      </c>
      <c r="AM4" s="57" t="s">
        <v>102</v>
      </c>
      <c r="AN4" s="87" t="s">
        <v>121</v>
      </c>
      <c r="AO4" s="57" t="s">
        <v>10</v>
      </c>
      <c r="AP4" s="87" t="s">
        <v>53</v>
      </c>
      <c r="AQ4" s="57" t="s">
        <v>62</v>
      </c>
      <c r="AR4" s="57" t="s">
        <v>63</v>
      </c>
      <c r="AS4" s="57" t="s">
        <v>116</v>
      </c>
      <c r="AT4" s="57" t="s">
        <v>10</v>
      </c>
      <c r="AU4" s="87" t="s">
        <v>64</v>
      </c>
      <c r="AV4" s="57" t="s">
        <v>37</v>
      </c>
      <c r="AW4" s="57" t="s">
        <v>38</v>
      </c>
      <c r="AX4" s="57" t="s">
        <v>39</v>
      </c>
      <c r="AY4" s="57" t="s">
        <v>40</v>
      </c>
      <c r="AZ4" s="57" t="s">
        <v>117</v>
      </c>
      <c r="BA4" s="57" t="s">
        <v>10</v>
      </c>
      <c r="BB4" s="57" t="s">
        <v>54</v>
      </c>
      <c r="BC4" s="57" t="s">
        <v>41</v>
      </c>
      <c r="BD4" s="57" t="s">
        <v>67</v>
      </c>
      <c r="BE4" s="57" t="s">
        <v>66</v>
      </c>
      <c r="BF4" s="57" t="s">
        <v>118</v>
      </c>
      <c r="BG4" s="57" t="s">
        <v>10</v>
      </c>
      <c r="BH4" s="87" t="s">
        <v>55</v>
      </c>
      <c r="BI4" s="57" t="s">
        <v>107</v>
      </c>
      <c r="BJ4" s="57" t="s">
        <v>94</v>
      </c>
      <c r="BK4" s="87" t="s">
        <v>119</v>
      </c>
      <c r="BL4" s="87" t="s">
        <v>69</v>
      </c>
      <c r="BM4" s="57" t="s">
        <v>71</v>
      </c>
      <c r="BN4" s="57" t="s">
        <v>73</v>
      </c>
      <c r="BO4" s="87" t="s">
        <v>122</v>
      </c>
      <c r="BP4" s="57" t="s">
        <v>74</v>
      </c>
      <c r="BQ4" s="57" t="s">
        <v>42</v>
      </c>
      <c r="BR4" s="57" t="s">
        <v>43</v>
      </c>
      <c r="BS4" s="87" t="s">
        <v>44</v>
      </c>
      <c r="BT4" s="57" t="s">
        <v>45</v>
      </c>
      <c r="BU4" s="57" t="s">
        <v>123</v>
      </c>
      <c r="BV4" s="57" t="s">
        <v>56</v>
      </c>
      <c r="BW4" s="57" t="s">
        <v>46</v>
      </c>
      <c r="BX4" s="57" t="s">
        <v>57</v>
      </c>
      <c r="BY4" s="99" t="s">
        <v>77</v>
      </c>
      <c r="BZ4" s="57" t="s">
        <v>58</v>
      </c>
      <c r="CA4" s="25" t="s">
        <v>1</v>
      </c>
      <c r="CB4" s="25" t="s">
        <v>2</v>
      </c>
      <c r="CC4" s="25" t="s">
        <v>3</v>
      </c>
      <c r="CD4" s="25" t="s">
        <v>4</v>
      </c>
      <c r="CE4" s="57" t="s">
        <v>5</v>
      </c>
      <c r="CF4" s="57" t="s">
        <v>124</v>
      </c>
      <c r="CG4" s="57" t="s">
        <v>78</v>
      </c>
      <c r="CH4" s="25" t="s">
        <v>81</v>
      </c>
      <c r="CI4" s="57" t="s">
        <v>59</v>
      </c>
      <c r="CJ4" s="25" t="s">
        <v>84</v>
      </c>
      <c r="CK4" s="25" t="s">
        <v>85</v>
      </c>
      <c r="CL4" s="57" t="s">
        <v>125</v>
      </c>
      <c r="CM4" s="57" t="s">
        <v>86</v>
      </c>
      <c r="CN4" s="25" t="s">
        <v>88</v>
      </c>
      <c r="CO4" s="57" t="s">
        <v>0</v>
      </c>
      <c r="CP4" s="25" t="s">
        <v>90</v>
      </c>
      <c r="CQ4" s="57" t="s">
        <v>0</v>
      </c>
      <c r="CR4" s="25" t="s">
        <v>92</v>
      </c>
      <c r="CS4" s="57" t="s">
        <v>0</v>
      </c>
      <c r="CT4" s="113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13" s="96" customFormat="1" ht="12" customHeight="1">
      <c r="A5" s="94">
        <v>1</v>
      </c>
      <c r="B5" s="103">
        <v>2</v>
      </c>
      <c r="C5" s="57">
        <v>3</v>
      </c>
      <c r="D5" s="57">
        <v>4</v>
      </c>
      <c r="E5" s="99">
        <v>5</v>
      </c>
      <c r="F5" s="102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102">
        <v>16</v>
      </c>
      <c r="Q5" s="102">
        <v>17</v>
      </c>
      <c r="R5" s="99">
        <v>18</v>
      </c>
      <c r="S5" s="99">
        <v>19</v>
      </c>
      <c r="T5" s="99">
        <v>20</v>
      </c>
      <c r="U5" s="99">
        <v>21</v>
      </c>
      <c r="V5" s="99">
        <v>22</v>
      </c>
      <c r="W5" s="99">
        <v>23</v>
      </c>
      <c r="X5" s="99">
        <v>24</v>
      </c>
      <c r="Y5" s="99">
        <v>25</v>
      </c>
      <c r="Z5" s="100">
        <v>26</v>
      </c>
      <c r="AA5" s="99">
        <v>27</v>
      </c>
      <c r="AB5" s="99">
        <v>28</v>
      </c>
      <c r="AC5" s="99">
        <v>29</v>
      </c>
      <c r="AD5" s="99">
        <v>30</v>
      </c>
      <c r="AE5" s="99">
        <v>31</v>
      </c>
      <c r="AF5" s="99">
        <v>32</v>
      </c>
      <c r="AG5" s="99">
        <v>33</v>
      </c>
      <c r="AH5" s="99">
        <v>34</v>
      </c>
      <c r="AI5" s="99">
        <v>35</v>
      </c>
      <c r="AJ5" s="99">
        <v>36</v>
      </c>
      <c r="AK5" s="99">
        <v>37</v>
      </c>
      <c r="AL5" s="99">
        <v>38</v>
      </c>
      <c r="AM5" s="99">
        <v>39</v>
      </c>
      <c r="AN5" s="99">
        <v>40</v>
      </c>
      <c r="AO5" s="99">
        <v>41</v>
      </c>
      <c r="AP5" s="99">
        <v>42</v>
      </c>
      <c r="AQ5" s="99">
        <v>43</v>
      </c>
      <c r="AR5" s="99">
        <v>44</v>
      </c>
      <c r="AS5" s="99">
        <v>45</v>
      </c>
      <c r="AT5" s="99">
        <v>46</v>
      </c>
      <c r="AU5" s="99">
        <v>47</v>
      </c>
      <c r="AV5" s="99">
        <v>48</v>
      </c>
      <c r="AW5" s="99">
        <v>49</v>
      </c>
      <c r="AX5" s="99">
        <v>50</v>
      </c>
      <c r="AY5" s="99">
        <v>51</v>
      </c>
      <c r="AZ5" s="99">
        <v>52</v>
      </c>
      <c r="BA5" s="99">
        <v>53</v>
      </c>
      <c r="BB5" s="99">
        <v>54</v>
      </c>
      <c r="BC5" s="99">
        <v>55</v>
      </c>
      <c r="BD5" s="99">
        <v>56</v>
      </c>
      <c r="BE5" s="99">
        <v>57</v>
      </c>
      <c r="BF5" s="99">
        <v>58</v>
      </c>
      <c r="BG5" s="99">
        <v>59</v>
      </c>
      <c r="BH5" s="99">
        <v>60</v>
      </c>
      <c r="BI5" s="99">
        <v>61</v>
      </c>
      <c r="BJ5" s="99">
        <v>62</v>
      </c>
      <c r="BK5" s="99">
        <v>63</v>
      </c>
      <c r="BL5" s="99">
        <v>64</v>
      </c>
      <c r="BM5" s="99">
        <v>65</v>
      </c>
      <c r="BN5" s="99">
        <v>66</v>
      </c>
      <c r="BO5" s="99">
        <v>67</v>
      </c>
      <c r="BP5" s="99">
        <v>68</v>
      </c>
      <c r="BQ5" s="99">
        <v>69</v>
      </c>
      <c r="BR5" s="99">
        <v>70</v>
      </c>
      <c r="BS5" s="99">
        <v>71</v>
      </c>
      <c r="BT5" s="99">
        <v>72</v>
      </c>
      <c r="BU5" s="99">
        <v>73</v>
      </c>
      <c r="BV5" s="99">
        <v>74</v>
      </c>
      <c r="BW5" s="99">
        <v>75</v>
      </c>
      <c r="BX5" s="99">
        <v>76</v>
      </c>
      <c r="BY5" s="99">
        <v>77</v>
      </c>
      <c r="BZ5" s="99">
        <v>78</v>
      </c>
      <c r="CA5" s="99">
        <v>79</v>
      </c>
      <c r="CB5" s="99">
        <v>80</v>
      </c>
      <c r="CC5" s="99">
        <v>81</v>
      </c>
      <c r="CD5" s="99">
        <v>82</v>
      </c>
      <c r="CE5" s="99">
        <v>83</v>
      </c>
      <c r="CF5" s="99">
        <v>84</v>
      </c>
      <c r="CG5" s="99">
        <v>85</v>
      </c>
      <c r="CH5" s="99">
        <v>86</v>
      </c>
      <c r="CI5" s="99">
        <v>87</v>
      </c>
      <c r="CJ5" s="99">
        <v>88</v>
      </c>
      <c r="CK5" s="99">
        <v>89</v>
      </c>
      <c r="CL5" s="99">
        <v>90</v>
      </c>
      <c r="CM5" s="99">
        <v>91</v>
      </c>
      <c r="CN5" s="99">
        <v>92</v>
      </c>
      <c r="CO5" s="99">
        <v>93</v>
      </c>
      <c r="CP5" s="99">
        <v>94</v>
      </c>
      <c r="CQ5" s="99">
        <v>95</v>
      </c>
      <c r="CR5" s="99">
        <v>96</v>
      </c>
      <c r="CS5" s="99">
        <v>97</v>
      </c>
      <c r="CT5" s="101">
        <v>98</v>
      </c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</row>
    <row r="6" spans="1:113" s="71" customFormat="1" ht="14.25">
      <c r="A6" s="69" t="s">
        <v>47</v>
      </c>
      <c r="B6" s="70">
        <f>SUM(B7:B16)</f>
        <v>335.7</v>
      </c>
      <c r="C6" s="70">
        <f>SUM(C7:C16)</f>
        <v>62378.100000000006</v>
      </c>
      <c r="D6" s="70">
        <f>SUM(D7:D16)</f>
        <v>33761.3</v>
      </c>
      <c r="E6" s="70">
        <f>SUM(E7:E16)</f>
        <v>0</v>
      </c>
      <c r="F6" s="70">
        <f>SUM(F7:F16)</f>
        <v>710.1999999999999</v>
      </c>
      <c r="G6" s="88"/>
      <c r="H6" s="89"/>
      <c r="I6" s="90"/>
      <c r="J6" s="70">
        <f aca="true" t="shared" si="0" ref="J6:Q6">SUM(J7:J16)</f>
        <v>7500</v>
      </c>
      <c r="K6" s="70">
        <f t="shared" si="0"/>
        <v>64430.899999999994</v>
      </c>
      <c r="L6" s="70">
        <f t="shared" si="0"/>
        <v>62378.100000000006</v>
      </c>
      <c r="M6" s="70">
        <f t="shared" si="0"/>
        <v>36385.600000000006</v>
      </c>
      <c r="N6" s="70">
        <f t="shared" si="0"/>
        <v>33761.3</v>
      </c>
      <c r="O6" s="70">
        <f t="shared" si="0"/>
        <v>0</v>
      </c>
      <c r="P6" s="104">
        <f t="shared" si="0"/>
        <v>0</v>
      </c>
      <c r="Q6" s="104">
        <f t="shared" si="0"/>
        <v>0</v>
      </c>
      <c r="R6" s="89"/>
      <c r="S6" s="89"/>
      <c r="T6" s="91"/>
      <c r="U6" s="70">
        <f>SUM(U7:U16)</f>
        <v>7500</v>
      </c>
      <c r="V6" s="70">
        <f>SUM(V7:V16)</f>
        <v>7500</v>
      </c>
      <c r="W6" s="89"/>
      <c r="X6" s="89"/>
      <c r="Y6" s="91"/>
      <c r="Z6" s="92">
        <f>SUM(Z7:Z16)</f>
        <v>326.6</v>
      </c>
      <c r="AA6" s="92">
        <f>SUM(AA7:AA16)</f>
        <v>62456.99999999999</v>
      </c>
      <c r="AB6" s="92">
        <f>SUM(AB7:AB16)</f>
        <v>623.9</v>
      </c>
      <c r="AC6" s="89"/>
      <c r="AD6" s="89"/>
      <c r="AE6" s="91"/>
      <c r="AF6" s="70">
        <f>SUM(AF7:AF16)</f>
        <v>500</v>
      </c>
      <c r="AG6" s="70">
        <f>SUM(AG7:AG16)</f>
        <v>335.7</v>
      </c>
      <c r="AH6" s="70">
        <f>SUM(AH7:AH16)</f>
        <v>500</v>
      </c>
      <c r="AI6" s="89"/>
      <c r="AJ6" s="89"/>
      <c r="AK6" s="91"/>
      <c r="AL6" s="70">
        <f>SUM(AL7:AL16)</f>
        <v>12361.7</v>
      </c>
      <c r="AM6" s="70">
        <f>SUM(AM7:AM16)</f>
        <v>13450</v>
      </c>
      <c r="AN6" s="89"/>
      <c r="AO6" s="89"/>
      <c r="AP6" s="91"/>
      <c r="AQ6" s="70">
        <f>SUM(AQ7:AQ16)</f>
        <v>7500</v>
      </c>
      <c r="AR6" s="70">
        <f>SUM(AR7:AR16)</f>
        <v>28616.699999999997</v>
      </c>
      <c r="AS6" s="89"/>
      <c r="AT6" s="89"/>
      <c r="AU6" s="91"/>
      <c r="AV6" s="70"/>
      <c r="AW6" s="70"/>
      <c r="AX6" s="70"/>
      <c r="AY6" s="70"/>
      <c r="AZ6" s="89"/>
      <c r="BA6" s="89"/>
      <c r="BB6" s="91"/>
      <c r="BC6" s="70">
        <f>SUM(BC7:BC16)</f>
        <v>0</v>
      </c>
      <c r="BD6" s="70">
        <f>SUM(BD7:BD16)</f>
        <v>0</v>
      </c>
      <c r="BE6" s="70">
        <f>SUM(BE7:BE16)</f>
        <v>6000</v>
      </c>
      <c r="BF6" s="89"/>
      <c r="BG6" s="89"/>
      <c r="BH6" s="91"/>
      <c r="BI6" s="70">
        <f>SUM(BI7:BI16)</f>
        <v>49320.299999999996</v>
      </c>
      <c r="BJ6" s="70">
        <f>SUM(BJ7:BJ16)</f>
        <v>62456.99999999999</v>
      </c>
      <c r="BK6" s="89"/>
      <c r="BL6" s="91"/>
      <c r="BM6" s="70">
        <f>SUM(BM7:BM16)</f>
        <v>28616.699999999997</v>
      </c>
      <c r="BN6" s="70">
        <f>SUM(BN7:BN16)</f>
        <v>22579.2</v>
      </c>
      <c r="BO6" s="89"/>
      <c r="BP6" s="91"/>
      <c r="BQ6" s="70">
        <f>SUM(BQ7:BQ16)</f>
        <v>11542.8</v>
      </c>
      <c r="BR6" s="70">
        <f>SUM(BR7:BR16)</f>
        <v>7886.399999999999</v>
      </c>
      <c r="BS6" s="70">
        <f>SUM(BS7:BS16)</f>
        <v>8348.199999999999</v>
      </c>
      <c r="BT6" s="70">
        <f>SUM(BT7:BT16)</f>
        <v>16104.900000000001</v>
      </c>
      <c r="BU6" s="89"/>
      <c r="BV6" s="91"/>
      <c r="BW6" s="70">
        <f>SUM(BW7:BW16)</f>
        <v>0</v>
      </c>
      <c r="BX6" s="91"/>
      <c r="BY6" s="70">
        <v>0</v>
      </c>
      <c r="BZ6" s="91"/>
      <c r="CA6" s="70">
        <f>SUM(CA7:CA16)</f>
        <v>10</v>
      </c>
      <c r="CB6" s="70">
        <f>SUM(CB7:CB16)</f>
        <v>10</v>
      </c>
      <c r="CC6" s="70">
        <f>SUM(CC7:CC16)</f>
        <v>10</v>
      </c>
      <c r="CD6" s="70">
        <f>SUM(CD7:CD16)</f>
        <v>10</v>
      </c>
      <c r="CE6" s="70">
        <f>SUM(CE7:CE16)</f>
        <v>10</v>
      </c>
      <c r="CF6" s="89"/>
      <c r="CG6" s="91"/>
      <c r="CH6" s="70">
        <f>SUM(CH7:CH16)</f>
        <v>11</v>
      </c>
      <c r="CI6" s="91"/>
      <c r="CJ6" s="70">
        <f>SUM(CJ7:CJ16)</f>
        <v>1623</v>
      </c>
      <c r="CK6" s="70">
        <f>SUM(CK7:CK16)</f>
        <v>1265</v>
      </c>
      <c r="CL6" s="70"/>
      <c r="CM6" s="91"/>
      <c r="CN6" s="70">
        <f>SUM(CN7:CN16)</f>
        <v>0</v>
      </c>
      <c r="CO6" s="91"/>
      <c r="CP6" s="70">
        <f>SUM(CP7:CP16)</f>
        <v>0</v>
      </c>
      <c r="CQ6" s="91"/>
      <c r="CR6" s="70">
        <f>SUM(CR7:CR16)</f>
        <v>0</v>
      </c>
      <c r="CS6" s="91"/>
      <c r="CT6" s="9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3"/>
      <c r="DH6" s="3"/>
      <c r="DI6" s="3"/>
    </row>
    <row r="7" spans="1:113" ht="15">
      <c r="A7" s="55" t="s">
        <v>31</v>
      </c>
      <c r="B7" s="7"/>
      <c r="C7" s="7">
        <v>46199.5</v>
      </c>
      <c r="D7" s="7">
        <v>22361.6</v>
      </c>
      <c r="E7" s="16">
        <v>0</v>
      </c>
      <c r="F7" s="16">
        <v>374.5</v>
      </c>
      <c r="G7" s="36">
        <f>(B7-F7)/(C7-D7-E7)</f>
        <v>-0.015710276492476267</v>
      </c>
      <c r="H7" s="27" t="s">
        <v>60</v>
      </c>
      <c r="I7" s="52">
        <f>IF(G7&lt;=0.1,1,0)</f>
        <v>1</v>
      </c>
      <c r="J7" s="18">
        <v>7500</v>
      </c>
      <c r="K7" s="8">
        <v>48564.4</v>
      </c>
      <c r="L7" s="7">
        <v>46199.5</v>
      </c>
      <c r="M7" s="9">
        <v>24985.9</v>
      </c>
      <c r="N7" s="7">
        <v>22361.6</v>
      </c>
      <c r="O7" s="16">
        <v>0</v>
      </c>
      <c r="P7" s="16">
        <v>0</v>
      </c>
      <c r="Q7" s="16"/>
      <c r="R7" s="37">
        <f>J7/(K7-M7-O7)</f>
        <v>0.31808639226413893</v>
      </c>
      <c r="S7" s="27" t="s">
        <v>13</v>
      </c>
      <c r="T7" s="32">
        <f>IF(R7&lt;=0.5,1,0)</f>
        <v>1</v>
      </c>
      <c r="U7" s="18">
        <v>7500</v>
      </c>
      <c r="V7" s="18">
        <v>7500</v>
      </c>
      <c r="W7" s="39">
        <f>IF(U7&gt;0,U7/V7,0)</f>
        <v>1</v>
      </c>
      <c r="X7" s="27" t="s">
        <v>14</v>
      </c>
      <c r="Y7" s="32">
        <f>IF(W7&lt;=1,1,0)</f>
        <v>1</v>
      </c>
      <c r="Z7" s="9">
        <v>326.6</v>
      </c>
      <c r="AA7" s="62">
        <v>46074</v>
      </c>
      <c r="AB7" s="7">
        <v>33.5</v>
      </c>
      <c r="AC7" s="39">
        <f>Z7/(AA7-AB7)</f>
        <v>0.007093754411876501</v>
      </c>
      <c r="AD7" s="27" t="s">
        <v>12</v>
      </c>
      <c r="AE7" s="32">
        <f aca="true" t="shared" si="1" ref="AE7:AE16">IF(AC7&lt;=0.15,1,0)</f>
        <v>1</v>
      </c>
      <c r="AF7" s="18">
        <v>500</v>
      </c>
      <c r="AG7" s="7"/>
      <c r="AH7" s="18">
        <v>500</v>
      </c>
      <c r="AI7" s="39">
        <f>IF(AG7+AH7&gt;0,AF7/(AG7+AH7),0)</f>
        <v>1</v>
      </c>
      <c r="AJ7" s="27" t="s">
        <v>14</v>
      </c>
      <c r="AK7" s="32">
        <f>IF(AF7&lt;=(AG7+AH7),1,0)</f>
        <v>1</v>
      </c>
      <c r="AL7" s="10">
        <v>4390</v>
      </c>
      <c r="AM7" s="10">
        <v>4391</v>
      </c>
      <c r="AN7" s="39">
        <f>AL7/AM7</f>
        <v>0.9997722614438624</v>
      </c>
      <c r="AO7" s="27" t="s">
        <v>14</v>
      </c>
      <c r="AP7" s="32">
        <f aca="true" t="shared" si="2" ref="AP7:AP16">IF(AN7&lt;=1,1,0)</f>
        <v>1</v>
      </c>
      <c r="AQ7" s="18">
        <v>7500</v>
      </c>
      <c r="AR7" s="7">
        <v>23837.9</v>
      </c>
      <c r="AS7" s="45">
        <f>AQ7/AR7</f>
        <v>0.3146250298893778</v>
      </c>
      <c r="AT7" s="27" t="s">
        <v>105</v>
      </c>
      <c r="AU7" s="32">
        <f>IF(AS7&lt;=0.6,0,-1)</f>
        <v>0</v>
      </c>
      <c r="AV7" s="18">
        <v>0</v>
      </c>
      <c r="AW7" s="18">
        <v>0</v>
      </c>
      <c r="AX7" s="18">
        <v>0</v>
      </c>
      <c r="AY7" s="18">
        <v>0</v>
      </c>
      <c r="AZ7" s="46">
        <f aca="true" t="shared" si="3" ref="AZ7:AZ16">AV7+AW7+AX7+AY7</f>
        <v>0</v>
      </c>
      <c r="BA7" s="27">
        <v>0</v>
      </c>
      <c r="BB7" s="32">
        <f>IF(AZ7&gt;0,-1,0)</f>
        <v>0</v>
      </c>
      <c r="BC7" s="18">
        <v>0</v>
      </c>
      <c r="BD7" s="18">
        <v>0</v>
      </c>
      <c r="BE7" s="53">
        <v>6000</v>
      </c>
      <c r="BF7" s="47">
        <f>BC7/(BD7+BE7)</f>
        <v>0</v>
      </c>
      <c r="BG7" s="27" t="s">
        <v>19</v>
      </c>
      <c r="BH7" s="32">
        <f>IF(BC7=0,1,0)</f>
        <v>1</v>
      </c>
      <c r="BI7" s="10">
        <f>6618.8+8921.5+2712.5+13020+2130.3</f>
        <v>33403.1</v>
      </c>
      <c r="BJ7" s="62">
        <v>46074</v>
      </c>
      <c r="BK7" s="40">
        <f aca="true" t="shared" si="4" ref="BK7:BK16">BI7/BJ7</f>
        <v>0.7249880626817727</v>
      </c>
      <c r="BL7" s="32">
        <f>IF(BK7&gt;=0.9,3,IF(BK7&gt;=0.7,2,0)+IF(BK7&lt;0.5,-1,0))</f>
        <v>2</v>
      </c>
      <c r="BM7" s="7">
        <v>23837.9</v>
      </c>
      <c r="BN7" s="10">
        <v>18522.8</v>
      </c>
      <c r="BO7" s="39">
        <f>BM7/BN7</f>
        <v>1.2869490573779343</v>
      </c>
      <c r="BP7" s="32">
        <f>IF(AND(BO7&gt;=0.9,BO7&lt;=1.1),0,-1)</f>
        <v>-1</v>
      </c>
      <c r="BQ7" s="10">
        <v>7414</v>
      </c>
      <c r="BR7" s="11">
        <v>5506.8</v>
      </c>
      <c r="BS7" s="9">
        <f>4994.7</f>
        <v>4994.7</v>
      </c>
      <c r="BT7" s="67">
        <v>12881.9</v>
      </c>
      <c r="BU7" s="49">
        <f>BQ7/((BR7+BS7+BT7)/3)</f>
        <v>0.9511875946184044</v>
      </c>
      <c r="BV7" s="32">
        <f>IF(AND(BU7&gt;=0.7,BU7&lt;=1.3),1,IF(OR(AND(BU7&gt;=0.5,BU7&lt;0.7),AND(BU7&gt;1.3,BU7&lt;=1.5)),0.5,0))</f>
        <v>1</v>
      </c>
      <c r="BW7" s="10">
        <v>0</v>
      </c>
      <c r="BX7" s="32">
        <f aca="true" t="shared" si="5" ref="BX7:BX16">IF(BW7&gt;0,-1,0)</f>
        <v>0</v>
      </c>
      <c r="BY7" s="29">
        <v>0</v>
      </c>
      <c r="BZ7" s="32">
        <f>IF(BY7&gt;0,-1,0)</f>
        <v>0</v>
      </c>
      <c r="CA7" s="10">
        <v>1</v>
      </c>
      <c r="CB7" s="10">
        <v>1</v>
      </c>
      <c r="CC7" s="10">
        <v>1</v>
      </c>
      <c r="CD7" s="10">
        <v>1</v>
      </c>
      <c r="CE7" s="10">
        <v>1</v>
      </c>
      <c r="CF7" s="27">
        <f>CA7+CB7+CC7+CD7+CE7</f>
        <v>5</v>
      </c>
      <c r="CG7" s="32">
        <f>IF(CF7&gt;=5,1,0)</f>
        <v>1</v>
      </c>
      <c r="CH7" s="11">
        <v>0</v>
      </c>
      <c r="CI7" s="32">
        <f>IF(CH7&gt;0,-1,0)</f>
        <v>0</v>
      </c>
      <c r="CJ7" s="11">
        <v>1259</v>
      </c>
      <c r="CK7" s="11">
        <v>286</v>
      </c>
      <c r="CL7" s="10">
        <f>CJ7/CK7</f>
        <v>4.4020979020979025</v>
      </c>
      <c r="CM7" s="32">
        <f>IF(CL7&lt;1,1,IF(CL7=1,0,IF(AND(CL7&gt;1,CL7&lt;=1.5),-1,-2)))</f>
        <v>-2</v>
      </c>
      <c r="CN7" s="10">
        <v>0</v>
      </c>
      <c r="CO7" s="32">
        <f>IF(CN7&gt;0,1,0)</f>
        <v>0</v>
      </c>
      <c r="CP7" s="10">
        <v>0</v>
      </c>
      <c r="CQ7" s="32">
        <f>IF(CP7&gt;0,-1,0)</f>
        <v>0</v>
      </c>
      <c r="CR7" s="10">
        <v>0</v>
      </c>
      <c r="CS7" s="32">
        <f>IF(CR7&gt;0,-1,0)</f>
        <v>0</v>
      </c>
      <c r="CT7" s="61">
        <f aca="true" t="shared" si="6" ref="CT7:CT17">I7+T7+Y7+AE7+AK7+AU7+BB7+BH13+BH7+BL7+BP7+BV7+BX7+BZ7+CG7+CI7+CM7+CO7+CQ7+CS7+AP7</f>
        <v>9</v>
      </c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5">
      <c r="A8" s="55" t="s">
        <v>22</v>
      </c>
      <c r="B8" s="7">
        <v>96.4</v>
      </c>
      <c r="C8" s="7">
        <v>1585</v>
      </c>
      <c r="D8" s="7">
        <v>754</v>
      </c>
      <c r="E8" s="62"/>
      <c r="F8" s="7">
        <v>96.4</v>
      </c>
      <c r="G8" s="36">
        <f aca="true" t="shared" si="7" ref="G8:G16">(B8-F8)/(C8-D8-E8)</f>
        <v>0</v>
      </c>
      <c r="H8" s="27" t="s">
        <v>11</v>
      </c>
      <c r="I8" s="52">
        <f aca="true" t="shared" si="8" ref="I8:I16">IF(G8&lt;=0.05,1,0)</f>
        <v>1</v>
      </c>
      <c r="J8" s="7"/>
      <c r="K8" s="53">
        <v>1542.5</v>
      </c>
      <c r="L8" s="7">
        <v>1585</v>
      </c>
      <c r="M8" s="9">
        <v>754</v>
      </c>
      <c r="N8" s="7">
        <v>754</v>
      </c>
      <c r="O8" s="43">
        <v>0</v>
      </c>
      <c r="P8" s="16">
        <v>0</v>
      </c>
      <c r="Q8" s="16"/>
      <c r="R8" s="37">
        <f>J8/(K8-M8-O8)</f>
        <v>0</v>
      </c>
      <c r="S8" s="27" t="s">
        <v>13</v>
      </c>
      <c r="T8" s="32">
        <f>IF(R8&lt;=0.5,1,0)</f>
        <v>1</v>
      </c>
      <c r="U8" s="7"/>
      <c r="V8" s="18">
        <v>0</v>
      </c>
      <c r="W8" s="39">
        <f aca="true" t="shared" si="9" ref="W8:W16">IF(U9&gt;0,V9/U9,0)</f>
        <v>0</v>
      </c>
      <c r="X8" s="27" t="s">
        <v>14</v>
      </c>
      <c r="Y8" s="32">
        <f aca="true" t="shared" si="10" ref="Y8:Y16">IF(W8&lt;=1,1,0)</f>
        <v>1</v>
      </c>
      <c r="Z8" s="9"/>
      <c r="AA8" s="62">
        <v>1681.4</v>
      </c>
      <c r="AB8" s="7">
        <v>121.9</v>
      </c>
      <c r="AC8" s="39">
        <f aca="true" t="shared" si="11" ref="AC8:AC16">Z8/(AA8-AB8)</f>
        <v>0</v>
      </c>
      <c r="AD8" s="27" t="s">
        <v>12</v>
      </c>
      <c r="AE8" s="32">
        <f t="shared" si="1"/>
        <v>1</v>
      </c>
      <c r="AF8" s="18"/>
      <c r="AG8" s="7">
        <v>96.4</v>
      </c>
      <c r="AH8" s="18"/>
      <c r="AI8" s="39">
        <f>IF(AG8+AH8&gt;0,AF8/(AG8+AH8),0)</f>
        <v>0</v>
      </c>
      <c r="AJ8" s="27" t="s">
        <v>14</v>
      </c>
      <c r="AK8" s="32">
        <f aca="true" t="shared" si="12" ref="AK8:AK16">IF(AF8&lt;=(AG8+AH8),1,0)</f>
        <v>1</v>
      </c>
      <c r="AL8" s="10">
        <v>828.8</v>
      </c>
      <c r="AM8" s="10">
        <v>967</v>
      </c>
      <c r="AN8" s="39">
        <f aca="true" t="shared" si="13" ref="AN8:AN16">AL8/AM8</f>
        <v>0.8570837642192347</v>
      </c>
      <c r="AO8" s="27" t="s">
        <v>14</v>
      </c>
      <c r="AP8" s="32">
        <f t="shared" si="2"/>
        <v>1</v>
      </c>
      <c r="AQ8" s="18">
        <v>0</v>
      </c>
      <c r="AR8" s="7">
        <v>831</v>
      </c>
      <c r="AS8" s="45">
        <f aca="true" t="shared" si="14" ref="AS8:AS16">AQ8/AR8</f>
        <v>0</v>
      </c>
      <c r="AT8" s="27" t="s">
        <v>105</v>
      </c>
      <c r="AU8" s="32">
        <f aca="true" t="shared" si="15" ref="AU8:AU16">IF(AS8&lt;=0.6,0,-1)</f>
        <v>0</v>
      </c>
      <c r="AV8" s="18">
        <v>0</v>
      </c>
      <c r="AW8" s="18">
        <v>0</v>
      </c>
      <c r="AX8" s="18">
        <v>0</v>
      </c>
      <c r="AY8" s="18">
        <v>0</v>
      </c>
      <c r="AZ8" s="46">
        <f t="shared" si="3"/>
        <v>0</v>
      </c>
      <c r="BA8" s="27">
        <v>0</v>
      </c>
      <c r="BB8" s="32">
        <f aca="true" t="shared" si="16" ref="BB8:BB16">IF(AZ8&gt;0,-1,0)</f>
        <v>0</v>
      </c>
      <c r="BC8" s="18">
        <v>0</v>
      </c>
      <c r="BD8" s="18">
        <v>0</v>
      </c>
      <c r="BE8" s="18">
        <v>0</v>
      </c>
      <c r="BF8" s="47" t="e">
        <f>BC8/(BD8+BE8)</f>
        <v>#DIV/0!</v>
      </c>
      <c r="BG8" s="27" t="s">
        <v>19</v>
      </c>
      <c r="BH8" s="32">
        <f aca="true" t="shared" si="17" ref="BH8:BH16">IF(BC8=0,1,0)</f>
        <v>1</v>
      </c>
      <c r="BI8" s="10">
        <f>979.4+524.4</f>
        <v>1503.8</v>
      </c>
      <c r="BJ8" s="62">
        <v>1681.4</v>
      </c>
      <c r="BK8" s="40">
        <f t="shared" si="4"/>
        <v>0.8943737361722374</v>
      </c>
      <c r="BL8" s="32">
        <f aca="true" t="shared" si="18" ref="BL8:BL16">IF(BK8&gt;=0.9,3,IF(BK8&gt;=0.7,2,0)+IF(BK8&lt;0.5,-1,0))</f>
        <v>2</v>
      </c>
      <c r="BM8" s="7">
        <v>831</v>
      </c>
      <c r="BN8" s="10">
        <v>740.5</v>
      </c>
      <c r="BO8" s="39">
        <f aca="true" t="shared" si="19" ref="BO8:BO16">BM8/BN8</f>
        <v>1.1222147197839298</v>
      </c>
      <c r="BP8" s="32">
        <f aca="true" t="shared" si="20" ref="BP8:BP16">IF(AND(BO8&gt;=0.9,BO8&lt;=1.1),0,-1)</f>
        <v>-1</v>
      </c>
      <c r="BQ8" s="10">
        <v>441.5</v>
      </c>
      <c r="BR8" s="11">
        <v>279.4</v>
      </c>
      <c r="BS8" s="9">
        <v>455.9</v>
      </c>
      <c r="BT8" s="67">
        <v>382.7</v>
      </c>
      <c r="BU8" s="49">
        <f aca="true" t="shared" si="21" ref="BU8:BU16">BQ8/((BR8+BS8+BT8)/3)</f>
        <v>1.1847048300536671</v>
      </c>
      <c r="BV8" s="32">
        <f aca="true" t="shared" si="22" ref="BV8:BV16">IF(AND(BU8&gt;=0.7,BU8&lt;=1.3),1,IF(OR(AND(BU8&gt;=0.5,BU8&lt;0.7),AND(BU8&gt;1.3,BU8&lt;=1.5)),0.5,0))</f>
        <v>1</v>
      </c>
      <c r="BW8" s="10">
        <v>0</v>
      </c>
      <c r="BX8" s="32">
        <f t="shared" si="5"/>
        <v>0</v>
      </c>
      <c r="BY8" s="29">
        <v>0</v>
      </c>
      <c r="BZ8" s="32">
        <f aca="true" t="shared" si="23" ref="BZ8:BZ16">IF(BY8&gt;0,-1,0)</f>
        <v>0</v>
      </c>
      <c r="CA8" s="10">
        <v>1</v>
      </c>
      <c r="CB8" s="10">
        <v>1</v>
      </c>
      <c r="CC8" s="10">
        <v>1</v>
      </c>
      <c r="CD8" s="10">
        <v>1</v>
      </c>
      <c r="CE8" s="10">
        <v>1</v>
      </c>
      <c r="CF8" s="27">
        <f>CA8+CB8+CC8+CD8+CE8</f>
        <v>5</v>
      </c>
      <c r="CG8" s="32">
        <f aca="true" t="shared" si="24" ref="CG8:CG16">IF(CF8&gt;=5,1,0)</f>
        <v>1</v>
      </c>
      <c r="CH8" s="11">
        <v>0</v>
      </c>
      <c r="CI8" s="32">
        <f aca="true" t="shared" si="25" ref="CI8:CI16">IF(CH8&gt;0,-1,0)</f>
        <v>0</v>
      </c>
      <c r="CJ8" s="11">
        <v>33</v>
      </c>
      <c r="CK8" s="10">
        <v>178</v>
      </c>
      <c r="CL8" s="10">
        <f aca="true" t="shared" si="26" ref="CL8:CL16">CJ8/CK8</f>
        <v>0.1853932584269663</v>
      </c>
      <c r="CM8" s="32">
        <f aca="true" t="shared" si="27" ref="CM8:CM16">IF(CL8&lt;1,1,IF(CL8=1,0,IF(AND(CL8&gt;1,CL8&lt;=1.5),-1,-2)))</f>
        <v>1</v>
      </c>
      <c r="CN8" s="10">
        <v>0</v>
      </c>
      <c r="CO8" s="32">
        <f aca="true" t="shared" si="28" ref="CO8:CO16">IF(CN8&gt;0,1,0)</f>
        <v>0</v>
      </c>
      <c r="CP8" s="10">
        <v>0</v>
      </c>
      <c r="CQ8" s="32">
        <f aca="true" t="shared" si="29" ref="CQ8:CQ16">IF(CP8&gt;0,-1,0)</f>
        <v>0</v>
      </c>
      <c r="CR8" s="10">
        <v>0</v>
      </c>
      <c r="CS8" s="32">
        <f aca="true" t="shared" si="30" ref="CS8:CS16">IF(CR8&gt;0,-1,0)</f>
        <v>0</v>
      </c>
      <c r="CT8" s="61">
        <f t="shared" si="6"/>
        <v>12</v>
      </c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15">
      <c r="A9" s="55" t="s">
        <v>30</v>
      </c>
      <c r="B9" s="7">
        <v>93.1</v>
      </c>
      <c r="C9" s="7">
        <v>1724.5</v>
      </c>
      <c r="D9" s="7">
        <v>1424.4</v>
      </c>
      <c r="E9" s="62"/>
      <c r="F9" s="7">
        <v>93.1</v>
      </c>
      <c r="G9" s="36">
        <f t="shared" si="7"/>
        <v>0</v>
      </c>
      <c r="H9" s="27" t="s">
        <v>11</v>
      </c>
      <c r="I9" s="52">
        <f t="shared" si="8"/>
        <v>1</v>
      </c>
      <c r="J9" s="7"/>
      <c r="K9" s="8">
        <v>1700.1</v>
      </c>
      <c r="L9" s="7">
        <v>1724.5</v>
      </c>
      <c r="M9" s="9">
        <v>1424.4</v>
      </c>
      <c r="N9" s="7">
        <v>1424.4</v>
      </c>
      <c r="O9" s="16">
        <v>0</v>
      </c>
      <c r="P9" s="16">
        <v>0</v>
      </c>
      <c r="Q9" s="16"/>
      <c r="R9" s="37">
        <f aca="true" t="shared" si="31" ref="R9:R16">J9/(K9-M9-O9)</f>
        <v>0</v>
      </c>
      <c r="S9" s="27" t="s">
        <v>13</v>
      </c>
      <c r="T9" s="32">
        <f>IF(R9&lt;=0.5,1,0)</f>
        <v>1</v>
      </c>
      <c r="U9" s="7"/>
      <c r="V9" s="18">
        <v>0</v>
      </c>
      <c r="W9" s="39">
        <f t="shared" si="9"/>
        <v>0</v>
      </c>
      <c r="X9" s="27" t="s">
        <v>14</v>
      </c>
      <c r="Y9" s="32">
        <f t="shared" si="10"/>
        <v>1</v>
      </c>
      <c r="Z9" s="9"/>
      <c r="AA9" s="62">
        <v>1817.6</v>
      </c>
      <c r="AB9" s="7">
        <v>49.5</v>
      </c>
      <c r="AC9" s="39">
        <f t="shared" si="11"/>
        <v>0</v>
      </c>
      <c r="AD9" s="27" t="s">
        <v>12</v>
      </c>
      <c r="AE9" s="32">
        <f t="shared" si="1"/>
        <v>1</v>
      </c>
      <c r="AF9" s="18"/>
      <c r="AG9" s="7">
        <v>93.1</v>
      </c>
      <c r="AH9" s="18"/>
      <c r="AI9" s="39">
        <f aca="true" t="shared" si="32" ref="AI9:AI16">IF(AG9+AH9&gt;0,AF9/(AG9+AH9),0)</f>
        <v>0</v>
      </c>
      <c r="AJ9" s="27" t="s">
        <v>14</v>
      </c>
      <c r="AK9" s="32">
        <f t="shared" si="12"/>
        <v>1</v>
      </c>
      <c r="AL9" s="10">
        <v>928.6</v>
      </c>
      <c r="AM9" s="10">
        <v>1018</v>
      </c>
      <c r="AN9" s="39">
        <f t="shared" si="13"/>
        <v>0.9121807465618861</v>
      </c>
      <c r="AO9" s="27" t="s">
        <v>14</v>
      </c>
      <c r="AP9" s="32">
        <f t="shared" si="2"/>
        <v>1</v>
      </c>
      <c r="AQ9" s="18">
        <v>0</v>
      </c>
      <c r="AR9" s="7">
        <v>300.1</v>
      </c>
      <c r="AS9" s="45">
        <f t="shared" si="14"/>
        <v>0</v>
      </c>
      <c r="AT9" s="27" t="s">
        <v>105</v>
      </c>
      <c r="AU9" s="32">
        <f t="shared" si="15"/>
        <v>0</v>
      </c>
      <c r="AV9" s="18">
        <v>0</v>
      </c>
      <c r="AW9" s="18">
        <v>0</v>
      </c>
      <c r="AX9" s="18">
        <v>0</v>
      </c>
      <c r="AY9" s="18">
        <v>0</v>
      </c>
      <c r="AZ9" s="46">
        <f t="shared" si="3"/>
        <v>0</v>
      </c>
      <c r="BA9" s="27">
        <v>0</v>
      </c>
      <c r="BB9" s="32">
        <f t="shared" si="16"/>
        <v>0</v>
      </c>
      <c r="BC9" s="18">
        <v>0</v>
      </c>
      <c r="BD9" s="18">
        <v>0</v>
      </c>
      <c r="BE9" s="18">
        <v>0</v>
      </c>
      <c r="BF9" s="47" t="e">
        <f aca="true" t="shared" si="33" ref="BF9:BF16">BC9/(BD9+BE9)</f>
        <v>#DIV/0!</v>
      </c>
      <c r="BG9" s="27" t="s">
        <v>19</v>
      </c>
      <c r="BH9" s="32">
        <f t="shared" si="17"/>
        <v>1</v>
      </c>
      <c r="BI9" s="10">
        <f>999+780.6</f>
        <v>1779.6</v>
      </c>
      <c r="BJ9" s="62">
        <v>1817.6</v>
      </c>
      <c r="BK9" s="40">
        <f t="shared" si="4"/>
        <v>0.9790933098591549</v>
      </c>
      <c r="BL9" s="32">
        <f t="shared" si="18"/>
        <v>3</v>
      </c>
      <c r="BM9" s="7">
        <v>300.1</v>
      </c>
      <c r="BN9" s="10">
        <v>270.6</v>
      </c>
      <c r="BO9" s="39">
        <f t="shared" si="19"/>
        <v>1.1090169992609016</v>
      </c>
      <c r="BP9" s="32">
        <f t="shared" si="20"/>
        <v>-1</v>
      </c>
      <c r="BQ9" s="10">
        <v>351</v>
      </c>
      <c r="BR9" s="11">
        <v>239.1</v>
      </c>
      <c r="BS9" s="9">
        <v>304.4</v>
      </c>
      <c r="BT9" s="67">
        <v>277.7</v>
      </c>
      <c r="BU9" s="49">
        <f t="shared" si="21"/>
        <v>1.2822698490014612</v>
      </c>
      <c r="BV9" s="32">
        <f t="shared" si="22"/>
        <v>1</v>
      </c>
      <c r="BW9" s="10">
        <v>0</v>
      </c>
      <c r="BX9" s="32">
        <f t="shared" si="5"/>
        <v>0</v>
      </c>
      <c r="BY9" s="29">
        <v>0</v>
      </c>
      <c r="BZ9" s="32">
        <f t="shared" si="23"/>
        <v>0</v>
      </c>
      <c r="CA9" s="10">
        <v>1</v>
      </c>
      <c r="CB9" s="10">
        <v>1</v>
      </c>
      <c r="CC9" s="10">
        <v>1</v>
      </c>
      <c r="CD9" s="10">
        <v>1</v>
      </c>
      <c r="CE9" s="10">
        <v>1</v>
      </c>
      <c r="CF9" s="27">
        <f>CA9+CB9+CC9+CD9+CE9</f>
        <v>5</v>
      </c>
      <c r="CG9" s="32">
        <f t="shared" si="24"/>
        <v>1</v>
      </c>
      <c r="CH9" s="11">
        <v>0</v>
      </c>
      <c r="CI9" s="32">
        <f t="shared" si="25"/>
        <v>0</v>
      </c>
      <c r="CJ9" s="11">
        <v>19</v>
      </c>
      <c r="CK9" s="10">
        <v>48</v>
      </c>
      <c r="CL9" s="10">
        <f t="shared" si="26"/>
        <v>0.3958333333333333</v>
      </c>
      <c r="CM9" s="32">
        <f t="shared" si="27"/>
        <v>1</v>
      </c>
      <c r="CN9" s="10">
        <v>0</v>
      </c>
      <c r="CO9" s="32">
        <f t="shared" si="28"/>
        <v>0</v>
      </c>
      <c r="CP9" s="10">
        <v>0</v>
      </c>
      <c r="CQ9" s="32">
        <f t="shared" si="29"/>
        <v>0</v>
      </c>
      <c r="CR9" s="10">
        <v>0</v>
      </c>
      <c r="CS9" s="32">
        <f t="shared" si="30"/>
        <v>0</v>
      </c>
      <c r="CT9" s="61">
        <f t="shared" si="6"/>
        <v>13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15">
      <c r="A10" s="55" t="s">
        <v>23</v>
      </c>
      <c r="B10" s="33">
        <v>61.8</v>
      </c>
      <c r="C10" s="16">
        <v>1061.9</v>
      </c>
      <c r="D10" s="33">
        <v>717.3</v>
      </c>
      <c r="E10" s="62"/>
      <c r="F10" s="33">
        <v>61.8</v>
      </c>
      <c r="G10" s="36">
        <f t="shared" si="7"/>
        <v>0</v>
      </c>
      <c r="H10" s="27" t="s">
        <v>11</v>
      </c>
      <c r="I10" s="52">
        <f t="shared" si="8"/>
        <v>1</v>
      </c>
      <c r="J10" s="33"/>
      <c r="K10" s="8">
        <v>1058.7</v>
      </c>
      <c r="L10" s="16">
        <v>1061.9</v>
      </c>
      <c r="M10" s="43">
        <v>717.3</v>
      </c>
      <c r="N10" s="33">
        <v>717.3</v>
      </c>
      <c r="O10" s="16">
        <v>0</v>
      </c>
      <c r="P10" s="16">
        <v>0</v>
      </c>
      <c r="Q10" s="16"/>
      <c r="R10" s="40">
        <f t="shared" si="31"/>
        <v>0</v>
      </c>
      <c r="S10" s="41" t="s">
        <v>13</v>
      </c>
      <c r="T10" s="42">
        <f>IF(R10&lt;=1,1,0)</f>
        <v>1</v>
      </c>
      <c r="U10" s="33"/>
      <c r="V10" s="44">
        <v>0</v>
      </c>
      <c r="W10" s="39">
        <f t="shared" si="9"/>
        <v>0</v>
      </c>
      <c r="X10" s="41" t="s">
        <v>14</v>
      </c>
      <c r="Y10" s="32">
        <f t="shared" si="10"/>
        <v>1</v>
      </c>
      <c r="Z10" s="43"/>
      <c r="AA10" s="63">
        <v>1123.7</v>
      </c>
      <c r="AB10" s="33">
        <v>49.5</v>
      </c>
      <c r="AC10" s="40">
        <f t="shared" si="11"/>
        <v>0</v>
      </c>
      <c r="AD10" s="41" t="s">
        <v>12</v>
      </c>
      <c r="AE10" s="42">
        <f t="shared" si="1"/>
        <v>1</v>
      </c>
      <c r="AF10" s="18"/>
      <c r="AG10" s="33">
        <v>61.8</v>
      </c>
      <c r="AH10" s="44"/>
      <c r="AI10" s="39">
        <f t="shared" si="32"/>
        <v>0</v>
      </c>
      <c r="AJ10" s="27" t="s">
        <v>14</v>
      </c>
      <c r="AK10" s="32">
        <f t="shared" si="12"/>
        <v>1</v>
      </c>
      <c r="AL10" s="11">
        <v>843.6</v>
      </c>
      <c r="AM10" s="11">
        <v>983</v>
      </c>
      <c r="AN10" s="40">
        <f t="shared" si="13"/>
        <v>0.8581892166836216</v>
      </c>
      <c r="AO10" s="27" t="s">
        <v>14</v>
      </c>
      <c r="AP10" s="32">
        <f t="shared" si="2"/>
        <v>1</v>
      </c>
      <c r="AQ10" s="18">
        <v>0</v>
      </c>
      <c r="AR10" s="16">
        <v>344.6</v>
      </c>
      <c r="AS10" s="45">
        <f t="shared" si="14"/>
        <v>0</v>
      </c>
      <c r="AT10" s="27" t="s">
        <v>105</v>
      </c>
      <c r="AU10" s="32">
        <f t="shared" si="15"/>
        <v>0</v>
      </c>
      <c r="AV10" s="18">
        <v>0</v>
      </c>
      <c r="AW10" s="18">
        <v>0</v>
      </c>
      <c r="AX10" s="18">
        <v>0</v>
      </c>
      <c r="AY10" s="18">
        <v>0</v>
      </c>
      <c r="AZ10" s="41">
        <f t="shared" si="3"/>
        <v>0</v>
      </c>
      <c r="BA10" s="27">
        <v>0</v>
      </c>
      <c r="BB10" s="32">
        <f t="shared" si="16"/>
        <v>0</v>
      </c>
      <c r="BC10" s="18">
        <v>0</v>
      </c>
      <c r="BD10" s="18">
        <v>0</v>
      </c>
      <c r="BE10" s="18">
        <v>0</v>
      </c>
      <c r="BF10" s="47" t="e">
        <f t="shared" si="33"/>
        <v>#DIV/0!</v>
      </c>
      <c r="BG10" s="27" t="s">
        <v>19</v>
      </c>
      <c r="BH10" s="32">
        <f t="shared" si="17"/>
        <v>1</v>
      </c>
      <c r="BI10" s="11">
        <f>889.4+197.3</f>
        <v>1086.7</v>
      </c>
      <c r="BJ10" s="63">
        <v>1123.7</v>
      </c>
      <c r="BK10" s="40">
        <f t="shared" si="4"/>
        <v>0.9670730622052149</v>
      </c>
      <c r="BL10" s="32">
        <f t="shared" si="18"/>
        <v>3</v>
      </c>
      <c r="BM10" s="16">
        <v>344.6</v>
      </c>
      <c r="BN10" s="11">
        <v>497.2</v>
      </c>
      <c r="BO10" s="40">
        <f t="shared" si="19"/>
        <v>0.6930812550281578</v>
      </c>
      <c r="BP10" s="32">
        <f t="shared" si="20"/>
        <v>-1</v>
      </c>
      <c r="BQ10" s="11">
        <v>336.7</v>
      </c>
      <c r="BR10" s="11">
        <v>234.2</v>
      </c>
      <c r="BS10" s="43">
        <v>246.7</v>
      </c>
      <c r="BT10" s="67">
        <v>249.5</v>
      </c>
      <c r="BU10" s="49">
        <f t="shared" si="21"/>
        <v>1.3829408543263964</v>
      </c>
      <c r="BV10" s="42">
        <f t="shared" si="22"/>
        <v>0.5</v>
      </c>
      <c r="BW10" s="11">
        <v>0</v>
      </c>
      <c r="BX10" s="32">
        <f t="shared" si="5"/>
        <v>0</v>
      </c>
      <c r="BY10" s="29">
        <v>0</v>
      </c>
      <c r="BZ10" s="32">
        <f t="shared" si="23"/>
        <v>0</v>
      </c>
      <c r="CA10" s="11">
        <v>1</v>
      </c>
      <c r="CB10" s="11">
        <v>1</v>
      </c>
      <c r="CC10" s="11">
        <v>1</v>
      </c>
      <c r="CD10" s="11">
        <v>1</v>
      </c>
      <c r="CE10" s="11">
        <v>1</v>
      </c>
      <c r="CF10" s="27">
        <f>CA10+CB10+CC10+CD10+CE10</f>
        <v>5</v>
      </c>
      <c r="CG10" s="32">
        <f t="shared" si="24"/>
        <v>1</v>
      </c>
      <c r="CH10" s="11">
        <v>2</v>
      </c>
      <c r="CI10" s="32">
        <f t="shared" si="25"/>
        <v>-1</v>
      </c>
      <c r="CJ10" s="11">
        <v>51</v>
      </c>
      <c r="CK10" s="11">
        <v>129</v>
      </c>
      <c r="CL10" s="10">
        <f t="shared" si="26"/>
        <v>0.3953488372093023</v>
      </c>
      <c r="CM10" s="32">
        <f t="shared" si="27"/>
        <v>1</v>
      </c>
      <c r="CN10" s="11">
        <v>0</v>
      </c>
      <c r="CO10" s="32">
        <f t="shared" si="28"/>
        <v>0</v>
      </c>
      <c r="CP10" s="10">
        <v>0</v>
      </c>
      <c r="CQ10" s="32">
        <f t="shared" si="29"/>
        <v>0</v>
      </c>
      <c r="CR10" s="11">
        <v>0</v>
      </c>
      <c r="CS10" s="32">
        <f t="shared" si="30"/>
        <v>0</v>
      </c>
      <c r="CT10" s="61">
        <f t="shared" si="6"/>
        <v>11.5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"/>
    </row>
    <row r="11" spans="1:113" ht="15">
      <c r="A11" s="55" t="s">
        <v>26</v>
      </c>
      <c r="B11" s="7">
        <v>81</v>
      </c>
      <c r="C11" s="15">
        <v>1798.1</v>
      </c>
      <c r="D11" s="7">
        <v>1136.4</v>
      </c>
      <c r="E11" s="63"/>
      <c r="F11" s="7">
        <v>81</v>
      </c>
      <c r="G11" s="36">
        <f t="shared" si="7"/>
        <v>0</v>
      </c>
      <c r="H11" s="27" t="s">
        <v>11</v>
      </c>
      <c r="I11" s="52">
        <f t="shared" si="8"/>
        <v>1</v>
      </c>
      <c r="J11" s="7"/>
      <c r="K11" s="8">
        <v>1739.4</v>
      </c>
      <c r="L11" s="15">
        <v>1798.1</v>
      </c>
      <c r="M11" s="9">
        <v>1136.4</v>
      </c>
      <c r="N11" s="7">
        <v>1136.4</v>
      </c>
      <c r="O11" s="16">
        <v>0</v>
      </c>
      <c r="P11" s="16">
        <v>0</v>
      </c>
      <c r="Q11" s="16"/>
      <c r="R11" s="37">
        <f t="shared" si="31"/>
        <v>0</v>
      </c>
      <c r="S11" s="27" t="s">
        <v>13</v>
      </c>
      <c r="T11" s="32">
        <f>IF(R11&lt;=0.5,1,0)</f>
        <v>1</v>
      </c>
      <c r="U11" s="7"/>
      <c r="V11" s="18">
        <v>0</v>
      </c>
      <c r="W11" s="39">
        <f t="shared" si="9"/>
        <v>0</v>
      </c>
      <c r="X11" s="27" t="s">
        <v>14</v>
      </c>
      <c r="Y11" s="32">
        <f t="shared" si="10"/>
        <v>1</v>
      </c>
      <c r="Z11" s="9"/>
      <c r="AA11" s="62">
        <v>1879.1</v>
      </c>
      <c r="AB11" s="7">
        <v>122.5</v>
      </c>
      <c r="AC11" s="39">
        <f t="shared" si="11"/>
        <v>0</v>
      </c>
      <c r="AD11" s="27" t="s">
        <v>12</v>
      </c>
      <c r="AE11" s="32">
        <f t="shared" si="1"/>
        <v>1</v>
      </c>
      <c r="AF11" s="18"/>
      <c r="AG11" s="7">
        <v>81</v>
      </c>
      <c r="AH11" s="18"/>
      <c r="AI11" s="39">
        <f t="shared" si="32"/>
        <v>0</v>
      </c>
      <c r="AJ11" s="27" t="s">
        <v>14</v>
      </c>
      <c r="AK11" s="32">
        <f t="shared" si="12"/>
        <v>1</v>
      </c>
      <c r="AL11" s="10">
        <v>1015.9</v>
      </c>
      <c r="AM11" s="10">
        <v>1193</v>
      </c>
      <c r="AN11" s="39">
        <f t="shared" si="13"/>
        <v>0.8515507124895222</v>
      </c>
      <c r="AO11" s="27" t="s">
        <v>14</v>
      </c>
      <c r="AP11" s="32">
        <f t="shared" si="2"/>
        <v>1</v>
      </c>
      <c r="AQ11" s="18">
        <v>0</v>
      </c>
      <c r="AR11" s="15">
        <v>661.7</v>
      </c>
      <c r="AS11" s="45">
        <f t="shared" si="14"/>
        <v>0</v>
      </c>
      <c r="AT11" s="27" t="s">
        <v>105</v>
      </c>
      <c r="AU11" s="32">
        <f t="shared" si="15"/>
        <v>0</v>
      </c>
      <c r="AV11" s="18">
        <v>0</v>
      </c>
      <c r="AW11" s="18">
        <v>0</v>
      </c>
      <c r="AX11" s="18">
        <v>0</v>
      </c>
      <c r="AY11" s="18">
        <v>0</v>
      </c>
      <c r="AZ11" s="46">
        <f t="shared" si="3"/>
        <v>0</v>
      </c>
      <c r="BA11" s="27">
        <v>0</v>
      </c>
      <c r="BB11" s="32">
        <f t="shared" si="16"/>
        <v>0</v>
      </c>
      <c r="BC11" s="18">
        <v>0</v>
      </c>
      <c r="BD11" s="18">
        <v>0</v>
      </c>
      <c r="BE11" s="18">
        <v>0</v>
      </c>
      <c r="BF11" s="47" t="e">
        <f t="shared" si="33"/>
        <v>#DIV/0!</v>
      </c>
      <c r="BG11" s="27" t="s">
        <v>19</v>
      </c>
      <c r="BH11" s="32">
        <f t="shared" si="17"/>
        <v>1</v>
      </c>
      <c r="BI11" s="11">
        <f>1136+699.1</f>
        <v>1835.1</v>
      </c>
      <c r="BJ11" s="62">
        <v>1879.1</v>
      </c>
      <c r="BK11" s="40">
        <f t="shared" si="4"/>
        <v>0.9765845351498058</v>
      </c>
      <c r="BL11" s="32">
        <f t="shared" si="18"/>
        <v>3</v>
      </c>
      <c r="BM11" s="15">
        <v>661.7</v>
      </c>
      <c r="BN11" s="10">
        <v>521.3</v>
      </c>
      <c r="BO11" s="39">
        <f t="shared" si="19"/>
        <v>1.2693266832917707</v>
      </c>
      <c r="BP11" s="32">
        <f t="shared" si="20"/>
        <v>-1</v>
      </c>
      <c r="BQ11" s="10">
        <v>431.4</v>
      </c>
      <c r="BR11" s="54">
        <v>307.2</v>
      </c>
      <c r="BS11" s="9">
        <v>427.4</v>
      </c>
      <c r="BT11" s="67">
        <v>593.9</v>
      </c>
      <c r="BU11" s="49">
        <f t="shared" si="21"/>
        <v>0.9741814076025592</v>
      </c>
      <c r="BV11" s="32">
        <f t="shared" si="22"/>
        <v>1</v>
      </c>
      <c r="BW11" s="10">
        <v>0</v>
      </c>
      <c r="BX11" s="32">
        <f t="shared" si="5"/>
        <v>0</v>
      </c>
      <c r="BY11" s="29">
        <v>0</v>
      </c>
      <c r="BZ11" s="32">
        <f t="shared" si="23"/>
        <v>0</v>
      </c>
      <c r="CA11" s="10">
        <v>1</v>
      </c>
      <c r="CB11" s="10">
        <v>1</v>
      </c>
      <c r="CC11" s="10">
        <v>1</v>
      </c>
      <c r="CD11" s="10">
        <v>1</v>
      </c>
      <c r="CE11" s="10">
        <v>1</v>
      </c>
      <c r="CF11" s="27">
        <f aca="true" t="shared" si="34" ref="CF11:CF16">CA11+CB11+CC11+CD11+CE11</f>
        <v>5</v>
      </c>
      <c r="CG11" s="32">
        <f t="shared" si="24"/>
        <v>1</v>
      </c>
      <c r="CH11" s="11">
        <v>0</v>
      </c>
      <c r="CI11" s="32">
        <v>0</v>
      </c>
      <c r="CJ11" s="11">
        <v>87</v>
      </c>
      <c r="CK11" s="10">
        <v>141</v>
      </c>
      <c r="CL11" s="10">
        <f t="shared" si="26"/>
        <v>0.6170212765957447</v>
      </c>
      <c r="CM11" s="32">
        <f t="shared" si="27"/>
        <v>1</v>
      </c>
      <c r="CN11" s="10">
        <v>0</v>
      </c>
      <c r="CO11" s="32">
        <f t="shared" si="28"/>
        <v>0</v>
      </c>
      <c r="CP11" s="10">
        <v>0</v>
      </c>
      <c r="CQ11" s="32">
        <f t="shared" si="29"/>
        <v>0</v>
      </c>
      <c r="CR11" s="50">
        <v>0</v>
      </c>
      <c r="CS11" s="32">
        <f t="shared" si="30"/>
        <v>0</v>
      </c>
      <c r="CT11" s="61">
        <f t="shared" si="6"/>
        <v>12</v>
      </c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5">
      <c r="A12" s="55" t="s">
        <v>27</v>
      </c>
      <c r="B12" s="7">
        <v>3</v>
      </c>
      <c r="C12" s="15">
        <v>2751.4</v>
      </c>
      <c r="D12" s="7">
        <v>2367.4</v>
      </c>
      <c r="E12" s="62"/>
      <c r="F12" s="7">
        <v>3</v>
      </c>
      <c r="G12" s="36">
        <f t="shared" si="7"/>
        <v>0</v>
      </c>
      <c r="H12" s="27" t="s">
        <v>11</v>
      </c>
      <c r="I12" s="52">
        <f t="shared" si="8"/>
        <v>1</v>
      </c>
      <c r="J12" s="7"/>
      <c r="K12" s="8">
        <v>2746.8</v>
      </c>
      <c r="L12" s="15">
        <v>2751.4</v>
      </c>
      <c r="M12" s="9">
        <v>2367.4</v>
      </c>
      <c r="N12" s="7">
        <v>2367.4</v>
      </c>
      <c r="O12" s="16">
        <v>0</v>
      </c>
      <c r="P12" s="16">
        <v>0</v>
      </c>
      <c r="Q12" s="16"/>
      <c r="R12" s="37">
        <f t="shared" si="31"/>
        <v>0</v>
      </c>
      <c r="S12" s="27" t="s">
        <v>13</v>
      </c>
      <c r="T12" s="32">
        <f>IF(R12&lt;=0.5,1,0)</f>
        <v>1</v>
      </c>
      <c r="U12" s="7"/>
      <c r="V12" s="18">
        <v>0</v>
      </c>
      <c r="W12" s="39">
        <f t="shared" si="9"/>
        <v>0</v>
      </c>
      <c r="X12" s="27" t="s">
        <v>14</v>
      </c>
      <c r="Y12" s="32">
        <f t="shared" si="10"/>
        <v>1</v>
      </c>
      <c r="Z12" s="9"/>
      <c r="AA12" s="62">
        <v>2700.1</v>
      </c>
      <c r="AB12" s="7">
        <v>47.4</v>
      </c>
      <c r="AC12" s="39">
        <f t="shared" si="11"/>
        <v>0</v>
      </c>
      <c r="AD12" s="27" t="s">
        <v>12</v>
      </c>
      <c r="AE12" s="32">
        <f t="shared" si="1"/>
        <v>1</v>
      </c>
      <c r="AF12" s="18"/>
      <c r="AG12" s="7">
        <v>3</v>
      </c>
      <c r="AH12" s="18"/>
      <c r="AI12" s="39">
        <f t="shared" si="32"/>
        <v>0</v>
      </c>
      <c r="AJ12" s="27" t="s">
        <v>14</v>
      </c>
      <c r="AK12" s="32">
        <f t="shared" si="12"/>
        <v>1</v>
      </c>
      <c r="AL12" s="10">
        <v>768.6</v>
      </c>
      <c r="AM12" s="10">
        <v>804</v>
      </c>
      <c r="AN12" s="39">
        <f t="shared" si="13"/>
        <v>0.9559701492537314</v>
      </c>
      <c r="AO12" s="27" t="s">
        <v>14</v>
      </c>
      <c r="AP12" s="32">
        <f t="shared" si="2"/>
        <v>1</v>
      </c>
      <c r="AQ12" s="18">
        <v>0</v>
      </c>
      <c r="AR12" s="15">
        <v>384</v>
      </c>
      <c r="AS12" s="45">
        <f t="shared" si="14"/>
        <v>0</v>
      </c>
      <c r="AT12" s="27" t="s">
        <v>105</v>
      </c>
      <c r="AU12" s="32">
        <f t="shared" si="15"/>
        <v>0</v>
      </c>
      <c r="AV12" s="18">
        <v>0</v>
      </c>
      <c r="AW12" s="18">
        <v>0</v>
      </c>
      <c r="AX12" s="18">
        <v>0</v>
      </c>
      <c r="AY12" s="18">
        <v>0</v>
      </c>
      <c r="AZ12" s="46">
        <f t="shared" si="3"/>
        <v>0</v>
      </c>
      <c r="BA12" s="27">
        <v>0</v>
      </c>
      <c r="BB12" s="32">
        <f t="shared" si="16"/>
        <v>0</v>
      </c>
      <c r="BC12" s="18">
        <v>0</v>
      </c>
      <c r="BD12" s="18">
        <v>0</v>
      </c>
      <c r="BE12" s="18">
        <v>0</v>
      </c>
      <c r="BF12" s="47" t="e">
        <f t="shared" si="33"/>
        <v>#DIV/0!</v>
      </c>
      <c r="BG12" s="27" t="s">
        <v>19</v>
      </c>
      <c r="BH12" s="32">
        <f t="shared" si="17"/>
        <v>1</v>
      </c>
      <c r="BI12" s="10">
        <f>839.4+1830.7</f>
        <v>2670.1</v>
      </c>
      <c r="BJ12" s="62">
        <v>2700.1</v>
      </c>
      <c r="BK12" s="40">
        <f t="shared" si="4"/>
        <v>0.9888893003962816</v>
      </c>
      <c r="BL12" s="32">
        <f t="shared" si="18"/>
        <v>3</v>
      </c>
      <c r="BM12" s="15">
        <v>384</v>
      </c>
      <c r="BN12" s="10">
        <v>322.9</v>
      </c>
      <c r="BO12" s="39">
        <f t="shared" si="19"/>
        <v>1.1892226695571386</v>
      </c>
      <c r="BP12" s="32">
        <f t="shared" si="20"/>
        <v>-1</v>
      </c>
      <c r="BQ12" s="10">
        <v>414.6</v>
      </c>
      <c r="BR12" s="11">
        <v>209.2</v>
      </c>
      <c r="BS12" s="9">
        <v>652.3</v>
      </c>
      <c r="BT12" s="67">
        <v>257.7</v>
      </c>
      <c r="BU12" s="49">
        <f t="shared" si="21"/>
        <v>1.1113295210864904</v>
      </c>
      <c r="BV12" s="32">
        <f t="shared" si="22"/>
        <v>1</v>
      </c>
      <c r="BW12" s="10">
        <v>0</v>
      </c>
      <c r="BX12" s="32">
        <f t="shared" si="5"/>
        <v>0</v>
      </c>
      <c r="BY12" s="29">
        <v>0</v>
      </c>
      <c r="BZ12" s="32">
        <f t="shared" si="23"/>
        <v>0</v>
      </c>
      <c r="CA12" s="56">
        <v>1</v>
      </c>
      <c r="CB12" s="56">
        <v>1</v>
      </c>
      <c r="CC12" s="56">
        <v>1</v>
      </c>
      <c r="CD12" s="56">
        <v>1</v>
      </c>
      <c r="CE12" s="56">
        <v>1</v>
      </c>
      <c r="CF12" s="27">
        <f t="shared" si="34"/>
        <v>5</v>
      </c>
      <c r="CG12" s="32">
        <f t="shared" si="24"/>
        <v>1</v>
      </c>
      <c r="CH12" s="11">
        <v>2</v>
      </c>
      <c r="CI12" s="32">
        <f t="shared" si="25"/>
        <v>-1</v>
      </c>
      <c r="CJ12" s="11">
        <v>16</v>
      </c>
      <c r="CK12" s="10">
        <v>26</v>
      </c>
      <c r="CL12" s="10">
        <f t="shared" si="26"/>
        <v>0.6153846153846154</v>
      </c>
      <c r="CM12" s="32">
        <f t="shared" si="27"/>
        <v>1</v>
      </c>
      <c r="CN12" s="10">
        <v>0</v>
      </c>
      <c r="CO12" s="32">
        <f t="shared" si="28"/>
        <v>0</v>
      </c>
      <c r="CP12" s="10">
        <v>0</v>
      </c>
      <c r="CQ12" s="32">
        <f t="shared" si="29"/>
        <v>0</v>
      </c>
      <c r="CR12" s="10">
        <v>0</v>
      </c>
      <c r="CS12" s="32">
        <f t="shared" si="30"/>
        <v>0</v>
      </c>
      <c r="CT12" s="61">
        <f t="shared" si="6"/>
        <v>11</v>
      </c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15">
      <c r="A13" s="55" t="s">
        <v>28</v>
      </c>
      <c r="B13" s="7">
        <v>0.4</v>
      </c>
      <c r="C13" s="15">
        <v>1362.9</v>
      </c>
      <c r="D13" s="7">
        <v>975.1</v>
      </c>
      <c r="E13" s="62"/>
      <c r="F13" s="7">
        <v>0.4</v>
      </c>
      <c r="G13" s="36">
        <f t="shared" si="7"/>
        <v>0</v>
      </c>
      <c r="H13" s="27" t="s">
        <v>11</v>
      </c>
      <c r="I13" s="52">
        <f t="shared" si="8"/>
        <v>1</v>
      </c>
      <c r="J13" s="7"/>
      <c r="K13" s="8">
        <v>1353.7</v>
      </c>
      <c r="L13" s="15">
        <v>1362.9</v>
      </c>
      <c r="M13" s="9">
        <v>975.1</v>
      </c>
      <c r="N13" s="7">
        <v>975.1</v>
      </c>
      <c r="O13" s="16">
        <v>0</v>
      </c>
      <c r="P13" s="16">
        <v>0</v>
      </c>
      <c r="Q13" s="16"/>
      <c r="R13" s="37">
        <f t="shared" si="31"/>
        <v>0</v>
      </c>
      <c r="S13" s="27" t="s">
        <v>13</v>
      </c>
      <c r="T13" s="32">
        <f>IF(R13&lt;=1,1,0)</f>
        <v>1</v>
      </c>
      <c r="U13" s="7"/>
      <c r="V13" s="18">
        <v>0</v>
      </c>
      <c r="W13" s="39">
        <f t="shared" si="9"/>
        <v>0</v>
      </c>
      <c r="X13" s="27" t="s">
        <v>14</v>
      </c>
      <c r="Y13" s="32">
        <f t="shared" si="10"/>
        <v>1</v>
      </c>
      <c r="Z13" s="9"/>
      <c r="AA13" s="62">
        <v>1365.9</v>
      </c>
      <c r="AB13" s="7">
        <v>49.9</v>
      </c>
      <c r="AC13" s="39">
        <f t="shared" si="11"/>
        <v>0</v>
      </c>
      <c r="AD13" s="27" t="s">
        <v>12</v>
      </c>
      <c r="AE13" s="32">
        <f t="shared" si="1"/>
        <v>1</v>
      </c>
      <c r="AF13" s="18"/>
      <c r="AG13" s="7">
        <v>0.4</v>
      </c>
      <c r="AH13" s="18"/>
      <c r="AI13" s="39">
        <f t="shared" si="32"/>
        <v>0</v>
      </c>
      <c r="AJ13" s="27" t="s">
        <v>14</v>
      </c>
      <c r="AK13" s="32">
        <f t="shared" si="12"/>
        <v>1</v>
      </c>
      <c r="AL13" s="10">
        <v>822.6</v>
      </c>
      <c r="AM13" s="10">
        <v>929</v>
      </c>
      <c r="AN13" s="39">
        <f t="shared" si="13"/>
        <v>0.8854682454251884</v>
      </c>
      <c r="AO13" s="27" t="s">
        <v>14</v>
      </c>
      <c r="AP13" s="32">
        <f t="shared" si="2"/>
        <v>1</v>
      </c>
      <c r="AQ13" s="18">
        <v>0</v>
      </c>
      <c r="AR13" s="15">
        <v>387.8</v>
      </c>
      <c r="AS13" s="45">
        <f t="shared" si="14"/>
        <v>0</v>
      </c>
      <c r="AT13" s="27" t="s">
        <v>105</v>
      </c>
      <c r="AU13" s="32">
        <f t="shared" si="15"/>
        <v>0</v>
      </c>
      <c r="AV13" s="18">
        <v>0</v>
      </c>
      <c r="AW13" s="18">
        <v>0</v>
      </c>
      <c r="AX13" s="18">
        <v>0</v>
      </c>
      <c r="AY13" s="18">
        <v>0</v>
      </c>
      <c r="AZ13" s="46">
        <f t="shared" si="3"/>
        <v>0</v>
      </c>
      <c r="BA13" s="27">
        <v>0</v>
      </c>
      <c r="BB13" s="32">
        <f t="shared" si="16"/>
        <v>0</v>
      </c>
      <c r="BC13" s="18">
        <v>0</v>
      </c>
      <c r="BD13" s="18">
        <v>0</v>
      </c>
      <c r="BE13" s="18">
        <v>0</v>
      </c>
      <c r="BF13" s="47" t="e">
        <f t="shared" si="33"/>
        <v>#DIV/0!</v>
      </c>
      <c r="BG13" s="27" t="s">
        <v>19</v>
      </c>
      <c r="BH13" s="32">
        <f t="shared" si="17"/>
        <v>1</v>
      </c>
      <c r="BI13" s="10">
        <f>889.8+446.1</f>
        <v>1335.9</v>
      </c>
      <c r="BJ13" s="62">
        <v>1365.9</v>
      </c>
      <c r="BK13" s="40">
        <f t="shared" si="4"/>
        <v>0.9780364594772677</v>
      </c>
      <c r="BL13" s="32">
        <f t="shared" si="18"/>
        <v>3</v>
      </c>
      <c r="BM13" s="15">
        <v>387.8</v>
      </c>
      <c r="BN13" s="10">
        <v>301.7</v>
      </c>
      <c r="BO13" s="39">
        <f t="shared" si="19"/>
        <v>1.2853828306264503</v>
      </c>
      <c r="BP13" s="32">
        <f t="shared" si="20"/>
        <v>-1</v>
      </c>
      <c r="BQ13" s="10">
        <v>377</v>
      </c>
      <c r="BR13" s="11">
        <v>254</v>
      </c>
      <c r="BS13" s="9">
        <v>289.1</v>
      </c>
      <c r="BT13" s="67">
        <v>395.8</v>
      </c>
      <c r="BU13" s="49">
        <f t="shared" si="21"/>
        <v>1.204601128980722</v>
      </c>
      <c r="BV13" s="32">
        <f t="shared" si="22"/>
        <v>1</v>
      </c>
      <c r="BW13" s="10">
        <v>0</v>
      </c>
      <c r="BX13" s="32">
        <f t="shared" si="5"/>
        <v>0</v>
      </c>
      <c r="BY13" s="29">
        <v>0</v>
      </c>
      <c r="BZ13" s="32">
        <f t="shared" si="23"/>
        <v>0</v>
      </c>
      <c r="CA13" s="10">
        <v>1</v>
      </c>
      <c r="CB13" s="10">
        <v>1</v>
      </c>
      <c r="CC13" s="10">
        <v>1</v>
      </c>
      <c r="CD13" s="10">
        <v>1</v>
      </c>
      <c r="CE13" s="10">
        <v>1</v>
      </c>
      <c r="CF13" s="27">
        <f t="shared" si="34"/>
        <v>5</v>
      </c>
      <c r="CG13" s="32">
        <f t="shared" si="24"/>
        <v>1</v>
      </c>
      <c r="CH13" s="11">
        <v>2</v>
      </c>
      <c r="CI13" s="32">
        <f t="shared" si="25"/>
        <v>-1</v>
      </c>
      <c r="CJ13" s="11">
        <v>17</v>
      </c>
      <c r="CK13" s="10">
        <v>51</v>
      </c>
      <c r="CL13" s="10">
        <f t="shared" si="26"/>
        <v>0.3333333333333333</v>
      </c>
      <c r="CM13" s="32">
        <f t="shared" si="27"/>
        <v>1</v>
      </c>
      <c r="CN13" s="10">
        <v>0</v>
      </c>
      <c r="CO13" s="32">
        <f t="shared" si="28"/>
        <v>0</v>
      </c>
      <c r="CP13" s="10">
        <v>0</v>
      </c>
      <c r="CQ13" s="32">
        <f t="shared" si="29"/>
        <v>0</v>
      </c>
      <c r="CR13" s="10">
        <v>0</v>
      </c>
      <c r="CS13" s="32">
        <f t="shared" si="30"/>
        <v>0</v>
      </c>
      <c r="CT13" s="61">
        <f t="shared" si="6"/>
        <v>11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15">
      <c r="A14" s="55" t="s">
        <v>29</v>
      </c>
      <c r="B14" s="7"/>
      <c r="C14" s="15">
        <v>1514.9</v>
      </c>
      <c r="D14" s="7">
        <v>847.6</v>
      </c>
      <c r="E14" s="62"/>
      <c r="F14" s="16"/>
      <c r="G14" s="36">
        <f t="shared" si="7"/>
        <v>0</v>
      </c>
      <c r="H14" s="27" t="s">
        <v>11</v>
      </c>
      <c r="I14" s="52">
        <f t="shared" si="8"/>
        <v>1</v>
      </c>
      <c r="J14" s="7"/>
      <c r="K14" s="8">
        <v>1422.6</v>
      </c>
      <c r="L14" s="15">
        <v>1514.9</v>
      </c>
      <c r="M14" s="9">
        <v>847.6</v>
      </c>
      <c r="N14" s="7">
        <v>847.6</v>
      </c>
      <c r="O14" s="16">
        <v>0</v>
      </c>
      <c r="P14" s="16">
        <v>0</v>
      </c>
      <c r="Q14" s="16"/>
      <c r="R14" s="37">
        <f t="shared" si="31"/>
        <v>0</v>
      </c>
      <c r="S14" s="27" t="s">
        <v>13</v>
      </c>
      <c r="T14" s="32">
        <f>IF(R14&lt;=1,1,0)</f>
        <v>1</v>
      </c>
      <c r="U14" s="7"/>
      <c r="V14" s="18">
        <v>0</v>
      </c>
      <c r="W14" s="39">
        <f t="shared" si="9"/>
        <v>0</v>
      </c>
      <c r="X14" s="27" t="s">
        <v>14</v>
      </c>
      <c r="Y14" s="32">
        <f t="shared" si="10"/>
        <v>1</v>
      </c>
      <c r="Z14" s="9"/>
      <c r="AA14" s="62">
        <v>1515.2</v>
      </c>
      <c r="AB14" s="7">
        <v>50.2</v>
      </c>
      <c r="AC14" s="39">
        <f t="shared" si="11"/>
        <v>0</v>
      </c>
      <c r="AD14" s="27" t="s">
        <v>12</v>
      </c>
      <c r="AE14" s="32">
        <f t="shared" si="1"/>
        <v>1</v>
      </c>
      <c r="AF14" s="18"/>
      <c r="AG14" s="7"/>
      <c r="AH14" s="18"/>
      <c r="AI14" s="39">
        <f t="shared" si="32"/>
        <v>0</v>
      </c>
      <c r="AJ14" s="27" t="s">
        <v>14</v>
      </c>
      <c r="AK14" s="32">
        <f t="shared" si="12"/>
        <v>1</v>
      </c>
      <c r="AL14" s="10">
        <v>1012.2</v>
      </c>
      <c r="AM14" s="10">
        <v>1157</v>
      </c>
      <c r="AN14" s="39">
        <f t="shared" si="13"/>
        <v>0.8748487467588592</v>
      </c>
      <c r="AO14" s="27" t="s">
        <v>14</v>
      </c>
      <c r="AP14" s="32">
        <f t="shared" si="2"/>
        <v>1</v>
      </c>
      <c r="AQ14" s="18">
        <v>0</v>
      </c>
      <c r="AR14" s="15">
        <v>667.2</v>
      </c>
      <c r="AS14" s="45">
        <f t="shared" si="14"/>
        <v>0</v>
      </c>
      <c r="AT14" s="27" t="s">
        <v>105</v>
      </c>
      <c r="AU14" s="32">
        <f t="shared" si="15"/>
        <v>0</v>
      </c>
      <c r="AV14" s="18">
        <v>0</v>
      </c>
      <c r="AW14" s="18">
        <v>0</v>
      </c>
      <c r="AX14" s="18">
        <v>0</v>
      </c>
      <c r="AY14" s="18">
        <v>0</v>
      </c>
      <c r="AZ14" s="46">
        <f t="shared" si="3"/>
        <v>0</v>
      </c>
      <c r="BA14" s="27">
        <v>0</v>
      </c>
      <c r="BB14" s="32">
        <f t="shared" si="16"/>
        <v>0</v>
      </c>
      <c r="BC14" s="18">
        <v>0</v>
      </c>
      <c r="BD14" s="18">
        <v>0</v>
      </c>
      <c r="BE14" s="18">
        <v>0</v>
      </c>
      <c r="BF14" s="47" t="e">
        <f t="shared" si="33"/>
        <v>#DIV/0!</v>
      </c>
      <c r="BG14" s="27" t="s">
        <v>19</v>
      </c>
      <c r="BH14" s="32">
        <f t="shared" si="17"/>
        <v>1</v>
      </c>
      <c r="BI14" s="10">
        <f>1095.9+380.3</f>
        <v>1476.2</v>
      </c>
      <c r="BJ14" s="62">
        <v>1515.2</v>
      </c>
      <c r="BK14" s="40">
        <f t="shared" si="4"/>
        <v>0.9742608236536431</v>
      </c>
      <c r="BL14" s="32">
        <f t="shared" si="18"/>
        <v>3</v>
      </c>
      <c r="BM14" s="15">
        <v>667.2</v>
      </c>
      <c r="BN14" s="10">
        <v>421.8</v>
      </c>
      <c r="BO14" s="39">
        <f t="shared" si="19"/>
        <v>1.581792318634424</v>
      </c>
      <c r="BP14" s="32">
        <f t="shared" si="20"/>
        <v>-1</v>
      </c>
      <c r="BQ14" s="10">
        <v>533.4</v>
      </c>
      <c r="BR14" s="11">
        <v>285.4</v>
      </c>
      <c r="BS14" s="9">
        <v>438</v>
      </c>
      <c r="BT14" s="67">
        <v>208.2</v>
      </c>
      <c r="BU14" s="49">
        <f t="shared" si="21"/>
        <v>1.7176899957063119</v>
      </c>
      <c r="BV14" s="32">
        <f t="shared" si="22"/>
        <v>0</v>
      </c>
      <c r="BW14" s="10">
        <v>0</v>
      </c>
      <c r="BX14" s="32">
        <f t="shared" si="5"/>
        <v>0</v>
      </c>
      <c r="BY14" s="29">
        <v>0</v>
      </c>
      <c r="BZ14" s="32">
        <f t="shared" si="23"/>
        <v>0</v>
      </c>
      <c r="CA14" s="10">
        <v>1</v>
      </c>
      <c r="CB14" s="10">
        <v>1</v>
      </c>
      <c r="CC14" s="10">
        <v>1</v>
      </c>
      <c r="CD14" s="10">
        <v>1</v>
      </c>
      <c r="CE14" s="10">
        <v>1</v>
      </c>
      <c r="CF14" s="27">
        <f t="shared" si="34"/>
        <v>5</v>
      </c>
      <c r="CG14" s="32">
        <f t="shared" si="24"/>
        <v>1</v>
      </c>
      <c r="CH14" s="11">
        <v>3</v>
      </c>
      <c r="CI14" s="32">
        <f t="shared" si="25"/>
        <v>-1</v>
      </c>
      <c r="CJ14" s="11">
        <v>53</v>
      </c>
      <c r="CK14" s="10">
        <v>178</v>
      </c>
      <c r="CL14" s="10">
        <f t="shared" si="26"/>
        <v>0.29775280898876405</v>
      </c>
      <c r="CM14" s="32">
        <f t="shared" si="27"/>
        <v>1</v>
      </c>
      <c r="CN14" s="10">
        <v>0</v>
      </c>
      <c r="CO14" s="32">
        <f t="shared" si="28"/>
        <v>0</v>
      </c>
      <c r="CP14" s="10">
        <v>0</v>
      </c>
      <c r="CQ14" s="32">
        <f t="shared" si="29"/>
        <v>0</v>
      </c>
      <c r="CR14" s="10">
        <v>0</v>
      </c>
      <c r="CS14" s="32">
        <f t="shared" si="30"/>
        <v>0</v>
      </c>
      <c r="CT14" s="61">
        <f t="shared" si="6"/>
        <v>10</v>
      </c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15">
      <c r="A15" s="55" t="s">
        <v>24</v>
      </c>
      <c r="B15" s="7"/>
      <c r="C15" s="15">
        <v>2571.3</v>
      </c>
      <c r="D15" s="7">
        <v>2256.2</v>
      </c>
      <c r="E15" s="62"/>
      <c r="F15" s="16"/>
      <c r="G15" s="36">
        <f t="shared" si="7"/>
        <v>0</v>
      </c>
      <c r="H15" s="27" t="s">
        <v>11</v>
      </c>
      <c r="I15" s="52">
        <f t="shared" si="8"/>
        <v>1</v>
      </c>
      <c r="J15" s="7"/>
      <c r="K15" s="8">
        <v>2566.7</v>
      </c>
      <c r="L15" s="15">
        <v>2571.3</v>
      </c>
      <c r="M15" s="9">
        <v>2256.2</v>
      </c>
      <c r="N15" s="7">
        <v>2256.2</v>
      </c>
      <c r="O15" s="16">
        <v>0</v>
      </c>
      <c r="P15" s="16">
        <v>0</v>
      </c>
      <c r="Q15" s="16"/>
      <c r="R15" s="37">
        <f t="shared" si="31"/>
        <v>0</v>
      </c>
      <c r="S15" s="27" t="s">
        <v>13</v>
      </c>
      <c r="T15" s="32">
        <f>IF(R15&lt;=0.5,1,0)</f>
        <v>1</v>
      </c>
      <c r="U15" s="7"/>
      <c r="V15" s="18">
        <v>0</v>
      </c>
      <c r="W15" s="39">
        <f t="shared" si="9"/>
        <v>0</v>
      </c>
      <c r="X15" s="27" t="s">
        <v>14</v>
      </c>
      <c r="Y15" s="32">
        <f t="shared" si="10"/>
        <v>1</v>
      </c>
      <c r="Z15" s="9"/>
      <c r="AA15" s="62">
        <v>2506</v>
      </c>
      <c r="AB15" s="7">
        <v>49.1</v>
      </c>
      <c r="AC15" s="39">
        <f t="shared" si="11"/>
        <v>0</v>
      </c>
      <c r="AD15" s="27" t="s">
        <v>12</v>
      </c>
      <c r="AE15" s="32">
        <f t="shared" si="1"/>
        <v>1</v>
      </c>
      <c r="AF15" s="18"/>
      <c r="AG15" s="7"/>
      <c r="AH15" s="18"/>
      <c r="AI15" s="39">
        <f t="shared" si="32"/>
        <v>0</v>
      </c>
      <c r="AJ15" s="27" t="s">
        <v>14</v>
      </c>
      <c r="AK15" s="32">
        <f t="shared" si="12"/>
        <v>1</v>
      </c>
      <c r="AL15" s="10">
        <v>718.8</v>
      </c>
      <c r="AM15" s="10">
        <v>834</v>
      </c>
      <c r="AN15" s="39">
        <f t="shared" si="13"/>
        <v>0.8618705035971223</v>
      </c>
      <c r="AO15" s="27" t="s">
        <v>14</v>
      </c>
      <c r="AP15" s="32">
        <f t="shared" si="2"/>
        <v>1</v>
      </c>
      <c r="AQ15" s="18">
        <v>0</v>
      </c>
      <c r="AR15" s="15">
        <v>315.1</v>
      </c>
      <c r="AS15" s="45">
        <f t="shared" si="14"/>
        <v>0</v>
      </c>
      <c r="AT15" s="27" t="s">
        <v>105</v>
      </c>
      <c r="AU15" s="32">
        <f t="shared" si="15"/>
        <v>0</v>
      </c>
      <c r="AV15" s="18">
        <v>0</v>
      </c>
      <c r="AW15" s="18">
        <v>0</v>
      </c>
      <c r="AX15" s="18">
        <v>0</v>
      </c>
      <c r="AY15" s="18">
        <v>0</v>
      </c>
      <c r="AZ15" s="46">
        <f t="shared" si="3"/>
        <v>0</v>
      </c>
      <c r="BA15" s="27">
        <v>0</v>
      </c>
      <c r="BB15" s="32">
        <f t="shared" si="16"/>
        <v>0</v>
      </c>
      <c r="BC15" s="18">
        <v>0</v>
      </c>
      <c r="BD15" s="18">
        <v>0</v>
      </c>
      <c r="BE15" s="18">
        <v>0</v>
      </c>
      <c r="BF15" s="47" t="e">
        <f t="shared" si="33"/>
        <v>#DIV/0!</v>
      </c>
      <c r="BG15" s="27" t="s">
        <v>19</v>
      </c>
      <c r="BH15" s="32">
        <f t="shared" si="17"/>
        <v>1</v>
      </c>
      <c r="BI15" s="10">
        <f>827.9+1648</f>
        <v>2475.9</v>
      </c>
      <c r="BJ15" s="62">
        <v>2506</v>
      </c>
      <c r="BK15" s="40">
        <f t="shared" si="4"/>
        <v>0.9879888268156425</v>
      </c>
      <c r="BL15" s="32">
        <f t="shared" si="18"/>
        <v>3</v>
      </c>
      <c r="BM15" s="15">
        <v>315.1</v>
      </c>
      <c r="BN15" s="10">
        <v>262.2</v>
      </c>
      <c r="BO15" s="39">
        <f t="shared" si="19"/>
        <v>1.2017543859649125</v>
      </c>
      <c r="BP15" s="32">
        <f t="shared" si="20"/>
        <v>-1</v>
      </c>
      <c r="BQ15" s="10">
        <v>666.3</v>
      </c>
      <c r="BR15" s="11">
        <v>304.4</v>
      </c>
      <c r="BS15" s="9">
        <v>237.1</v>
      </c>
      <c r="BT15" s="67">
        <v>260.1</v>
      </c>
      <c r="BU15" s="49">
        <f t="shared" si="21"/>
        <v>2.493637724550898</v>
      </c>
      <c r="BV15" s="32">
        <f t="shared" si="22"/>
        <v>0</v>
      </c>
      <c r="BW15" s="10">
        <v>0</v>
      </c>
      <c r="BX15" s="32">
        <f t="shared" si="5"/>
        <v>0</v>
      </c>
      <c r="BY15" s="29">
        <v>0</v>
      </c>
      <c r="BZ15" s="32">
        <f t="shared" si="23"/>
        <v>0</v>
      </c>
      <c r="CA15" s="10">
        <v>1</v>
      </c>
      <c r="CB15" s="10">
        <v>1</v>
      </c>
      <c r="CC15" s="10">
        <v>1</v>
      </c>
      <c r="CD15" s="10">
        <v>1</v>
      </c>
      <c r="CE15" s="10">
        <v>1</v>
      </c>
      <c r="CF15" s="27">
        <f t="shared" si="34"/>
        <v>5</v>
      </c>
      <c r="CG15" s="32">
        <f t="shared" si="24"/>
        <v>1</v>
      </c>
      <c r="CH15" s="11">
        <v>2</v>
      </c>
      <c r="CI15" s="32">
        <f t="shared" si="25"/>
        <v>-1</v>
      </c>
      <c r="CJ15" s="11">
        <v>24</v>
      </c>
      <c r="CK15" s="10">
        <v>54</v>
      </c>
      <c r="CL15" s="10">
        <f t="shared" si="26"/>
        <v>0.4444444444444444</v>
      </c>
      <c r="CM15" s="32">
        <f t="shared" si="27"/>
        <v>1</v>
      </c>
      <c r="CN15" s="10">
        <v>0</v>
      </c>
      <c r="CO15" s="32">
        <f t="shared" si="28"/>
        <v>0</v>
      </c>
      <c r="CP15" s="10">
        <v>0</v>
      </c>
      <c r="CQ15" s="32">
        <f t="shared" si="29"/>
        <v>0</v>
      </c>
      <c r="CR15" s="8">
        <v>0</v>
      </c>
      <c r="CS15" s="32">
        <f t="shared" si="30"/>
        <v>0</v>
      </c>
      <c r="CT15" s="61">
        <f t="shared" si="6"/>
        <v>10</v>
      </c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5">
      <c r="A16" s="55" t="s">
        <v>25</v>
      </c>
      <c r="B16" s="7"/>
      <c r="C16" s="15">
        <v>1808.6</v>
      </c>
      <c r="D16" s="7">
        <v>921.3</v>
      </c>
      <c r="E16" s="62"/>
      <c r="F16" s="16"/>
      <c r="G16" s="36">
        <f t="shared" si="7"/>
        <v>0</v>
      </c>
      <c r="H16" s="27" t="s">
        <v>11</v>
      </c>
      <c r="I16" s="52">
        <f t="shared" si="8"/>
        <v>1</v>
      </c>
      <c r="J16" s="7"/>
      <c r="K16" s="8">
        <v>1736</v>
      </c>
      <c r="L16" s="15">
        <v>1808.6</v>
      </c>
      <c r="M16" s="9">
        <v>921.3</v>
      </c>
      <c r="N16" s="7">
        <v>921.3</v>
      </c>
      <c r="O16" s="16">
        <v>0</v>
      </c>
      <c r="P16" s="16">
        <v>0</v>
      </c>
      <c r="Q16" s="16"/>
      <c r="R16" s="37">
        <f t="shared" si="31"/>
        <v>0</v>
      </c>
      <c r="S16" s="27" t="s">
        <v>13</v>
      </c>
      <c r="T16" s="32">
        <f>IF(R16&lt;=0.5,1,0)</f>
        <v>1</v>
      </c>
      <c r="U16" s="7"/>
      <c r="V16" s="18">
        <v>0</v>
      </c>
      <c r="W16" s="39">
        <f t="shared" si="9"/>
        <v>0</v>
      </c>
      <c r="X16" s="27" t="s">
        <v>14</v>
      </c>
      <c r="Y16" s="32">
        <f t="shared" si="10"/>
        <v>1</v>
      </c>
      <c r="Z16" s="9"/>
      <c r="AA16" s="62">
        <v>1794</v>
      </c>
      <c r="AB16" s="7">
        <v>50.4</v>
      </c>
      <c r="AC16" s="39">
        <f t="shared" si="11"/>
        <v>0</v>
      </c>
      <c r="AD16" s="27" t="s">
        <v>12</v>
      </c>
      <c r="AE16" s="32">
        <f t="shared" si="1"/>
        <v>1</v>
      </c>
      <c r="AF16" s="18"/>
      <c r="AG16" s="7"/>
      <c r="AH16" s="18"/>
      <c r="AI16" s="39">
        <f t="shared" si="32"/>
        <v>0</v>
      </c>
      <c r="AJ16" s="27" t="s">
        <v>14</v>
      </c>
      <c r="AK16" s="32">
        <f t="shared" si="12"/>
        <v>1</v>
      </c>
      <c r="AL16" s="10">
        <v>1032.6</v>
      </c>
      <c r="AM16" s="10">
        <v>1174</v>
      </c>
      <c r="AN16" s="39">
        <f t="shared" si="13"/>
        <v>0.8795570698466779</v>
      </c>
      <c r="AO16" s="27" t="s">
        <v>14</v>
      </c>
      <c r="AP16" s="32">
        <f t="shared" si="2"/>
        <v>1</v>
      </c>
      <c r="AQ16" s="18">
        <v>0</v>
      </c>
      <c r="AR16" s="15">
        <v>887.3</v>
      </c>
      <c r="AS16" s="45">
        <f t="shared" si="14"/>
        <v>0</v>
      </c>
      <c r="AT16" s="27" t="s">
        <v>105</v>
      </c>
      <c r="AU16" s="32">
        <f t="shared" si="15"/>
        <v>0</v>
      </c>
      <c r="AV16" s="18">
        <v>0</v>
      </c>
      <c r="AW16" s="18">
        <v>0</v>
      </c>
      <c r="AX16" s="18">
        <v>0</v>
      </c>
      <c r="AY16" s="18">
        <v>0</v>
      </c>
      <c r="AZ16" s="46">
        <f t="shared" si="3"/>
        <v>0</v>
      </c>
      <c r="BA16" s="27">
        <v>0</v>
      </c>
      <c r="BB16" s="32">
        <f t="shared" si="16"/>
        <v>0</v>
      </c>
      <c r="BC16" s="18">
        <v>0</v>
      </c>
      <c r="BD16" s="18">
        <v>0</v>
      </c>
      <c r="BE16" s="18">
        <v>0</v>
      </c>
      <c r="BF16" s="47" t="e">
        <f t="shared" si="33"/>
        <v>#DIV/0!</v>
      </c>
      <c r="BG16" s="27" t="s">
        <v>19</v>
      </c>
      <c r="BH16" s="32">
        <f t="shared" si="17"/>
        <v>1</v>
      </c>
      <c r="BI16" s="53">
        <f>1162+591.9</f>
        <v>1753.9</v>
      </c>
      <c r="BJ16" s="62">
        <v>1794</v>
      </c>
      <c r="BK16" s="40">
        <f t="shared" si="4"/>
        <v>0.9776477146042364</v>
      </c>
      <c r="BL16" s="32">
        <f t="shared" si="18"/>
        <v>3</v>
      </c>
      <c r="BM16" s="15">
        <v>887.3</v>
      </c>
      <c r="BN16" s="10">
        <v>718.2</v>
      </c>
      <c r="BO16" s="40">
        <f t="shared" si="19"/>
        <v>1.2354497354497354</v>
      </c>
      <c r="BP16" s="32">
        <f t="shared" si="20"/>
        <v>-1</v>
      </c>
      <c r="BQ16" s="10">
        <v>576.9</v>
      </c>
      <c r="BR16" s="54">
        <v>266.7</v>
      </c>
      <c r="BS16" s="9">
        <v>302.6</v>
      </c>
      <c r="BT16" s="67">
        <v>597.4</v>
      </c>
      <c r="BU16" s="49">
        <f t="shared" si="21"/>
        <v>1.483414759578298</v>
      </c>
      <c r="BV16" s="32">
        <f t="shared" si="22"/>
        <v>0.5</v>
      </c>
      <c r="BW16" s="10">
        <v>0</v>
      </c>
      <c r="BX16" s="32">
        <f t="shared" si="5"/>
        <v>0</v>
      </c>
      <c r="BY16" s="29">
        <v>0</v>
      </c>
      <c r="BZ16" s="32">
        <f t="shared" si="23"/>
        <v>0</v>
      </c>
      <c r="CA16" s="10">
        <v>1</v>
      </c>
      <c r="CB16" s="10">
        <v>1</v>
      </c>
      <c r="CC16" s="10">
        <v>1</v>
      </c>
      <c r="CD16" s="10">
        <v>1</v>
      </c>
      <c r="CE16" s="10">
        <v>1</v>
      </c>
      <c r="CF16" s="27">
        <f t="shared" si="34"/>
        <v>5</v>
      </c>
      <c r="CG16" s="32">
        <f t="shared" si="24"/>
        <v>1</v>
      </c>
      <c r="CH16" s="11">
        <v>0</v>
      </c>
      <c r="CI16" s="32">
        <f t="shared" si="25"/>
        <v>0</v>
      </c>
      <c r="CJ16" s="11">
        <v>64</v>
      </c>
      <c r="CK16" s="10">
        <v>174</v>
      </c>
      <c r="CL16" s="10">
        <f t="shared" si="26"/>
        <v>0.367816091954023</v>
      </c>
      <c r="CM16" s="32">
        <f t="shared" si="27"/>
        <v>1</v>
      </c>
      <c r="CN16" s="10">
        <v>0</v>
      </c>
      <c r="CO16" s="32">
        <f t="shared" si="28"/>
        <v>0</v>
      </c>
      <c r="CP16" s="10">
        <v>0</v>
      </c>
      <c r="CQ16" s="32">
        <f t="shared" si="29"/>
        <v>0</v>
      </c>
      <c r="CR16" s="10">
        <v>0</v>
      </c>
      <c r="CS16" s="32">
        <f t="shared" si="30"/>
        <v>0</v>
      </c>
      <c r="CT16" s="61">
        <f t="shared" si="6"/>
        <v>11.5</v>
      </c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5">
      <c r="A17" s="1"/>
      <c r="B17" s="7"/>
      <c r="C17" s="15"/>
      <c r="D17" s="7"/>
      <c r="E17" s="62"/>
      <c r="F17" s="16"/>
      <c r="G17" s="36"/>
      <c r="H17" s="27"/>
      <c r="I17" s="52"/>
      <c r="J17" s="7"/>
      <c r="K17" s="8"/>
      <c r="L17" s="15"/>
      <c r="M17" s="53"/>
      <c r="N17" s="7"/>
      <c r="O17" s="17"/>
      <c r="P17" s="17"/>
      <c r="Q17" s="17"/>
      <c r="R17" s="37"/>
      <c r="S17" s="27"/>
      <c r="T17" s="32"/>
      <c r="U17" s="7"/>
      <c r="V17" s="18"/>
      <c r="W17" s="39"/>
      <c r="X17" s="27"/>
      <c r="Y17" s="32"/>
      <c r="Z17" s="9"/>
      <c r="AA17" s="62"/>
      <c r="AB17" s="7"/>
      <c r="AC17" s="39"/>
      <c r="AD17" s="27"/>
      <c r="AE17" s="32"/>
      <c r="AF17" s="18"/>
      <c r="AG17" s="7"/>
      <c r="AH17" s="18"/>
      <c r="AI17" s="39"/>
      <c r="AJ17" s="27"/>
      <c r="AK17" s="32"/>
      <c r="AL17" s="10"/>
      <c r="AM17" s="10"/>
      <c r="AN17" s="39"/>
      <c r="AO17" s="27"/>
      <c r="AP17" s="32"/>
      <c r="AQ17" s="18"/>
      <c r="AR17" s="15"/>
      <c r="AS17" s="45"/>
      <c r="AT17" s="27"/>
      <c r="AU17" s="32"/>
      <c r="AV17" s="10"/>
      <c r="AW17" s="17"/>
      <c r="AX17" s="10"/>
      <c r="AY17" s="10"/>
      <c r="AZ17" s="46"/>
      <c r="BA17" s="27"/>
      <c r="BB17" s="32"/>
      <c r="BC17" s="10"/>
      <c r="BD17" s="10"/>
      <c r="BE17" s="10"/>
      <c r="BF17" s="47"/>
      <c r="BG17" s="27"/>
      <c r="BH17" s="32"/>
      <c r="BI17" s="10"/>
      <c r="BJ17" s="62"/>
      <c r="BK17" s="40"/>
      <c r="BL17" s="32"/>
      <c r="BM17" s="10"/>
      <c r="BN17" s="10"/>
      <c r="BO17" s="40"/>
      <c r="BP17" s="32"/>
      <c r="BQ17" s="10"/>
      <c r="BR17" s="17"/>
      <c r="BS17" s="53"/>
      <c r="BT17" s="11"/>
      <c r="BU17" s="49"/>
      <c r="BV17" s="32"/>
      <c r="BW17" s="10"/>
      <c r="BX17" s="32"/>
      <c r="BY17" s="29"/>
      <c r="BZ17" s="32"/>
      <c r="CA17" s="10"/>
      <c r="CB17" s="10"/>
      <c r="CC17" s="10"/>
      <c r="CD17" s="10"/>
      <c r="CE17" s="10"/>
      <c r="CF17" s="27"/>
      <c r="CG17" s="32"/>
      <c r="CH17" s="11"/>
      <c r="CI17" s="32"/>
      <c r="CJ17" s="10"/>
      <c r="CK17" s="10"/>
      <c r="CL17" s="10"/>
      <c r="CM17" s="32"/>
      <c r="CN17" s="10"/>
      <c r="CO17" s="32"/>
      <c r="CP17" s="10"/>
      <c r="CQ17" s="32"/>
      <c r="CR17" s="10"/>
      <c r="CS17" s="32"/>
      <c r="CT17" s="61">
        <f t="shared" si="6"/>
        <v>0</v>
      </c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75">
      <c r="A18" s="4"/>
      <c r="B18" s="114"/>
      <c r="C18" s="114"/>
      <c r="D18" s="114"/>
      <c r="E18" s="6"/>
      <c r="F18" s="6"/>
      <c r="G18" s="35"/>
      <c r="H18" s="26"/>
      <c r="I18" s="19"/>
      <c r="J18" s="2"/>
      <c r="K18" s="114"/>
      <c r="L18" s="114"/>
      <c r="M18" s="114"/>
      <c r="N18" s="114"/>
      <c r="O18" s="114"/>
      <c r="P18" s="95"/>
      <c r="Q18" s="95"/>
      <c r="R18" s="38"/>
      <c r="S18" s="19"/>
      <c r="T18" s="19"/>
      <c r="U18" s="2"/>
      <c r="V18" s="20"/>
      <c r="W18" s="21"/>
      <c r="X18" s="6"/>
      <c r="Y18" s="19"/>
      <c r="Z18" s="22"/>
      <c r="AA18" s="2"/>
      <c r="AB18" s="2"/>
      <c r="AC18" s="21"/>
      <c r="AD18" s="2"/>
      <c r="AE18" s="21"/>
      <c r="AF18" s="4"/>
      <c r="AG18" s="23"/>
      <c r="AH18" s="2"/>
      <c r="AI18" s="21"/>
      <c r="AJ18" s="24"/>
      <c r="AK18" s="19"/>
      <c r="AL18" s="2"/>
      <c r="AM18" s="2"/>
      <c r="AN18" s="21"/>
      <c r="AO18" s="2"/>
      <c r="AP18" s="2"/>
      <c r="AQ18" s="2"/>
      <c r="AR18" s="2"/>
      <c r="AS18" s="5"/>
      <c r="AT18" s="19"/>
      <c r="AU18" s="19"/>
      <c r="AV18" s="2"/>
      <c r="AW18" s="2"/>
      <c r="AX18" s="2"/>
      <c r="AY18" s="2"/>
      <c r="AZ18" s="2"/>
      <c r="BA18" s="2"/>
      <c r="BB18" s="19"/>
      <c r="BC18" s="115"/>
      <c r="BD18" s="115"/>
      <c r="BE18" s="115"/>
      <c r="BF18" s="2"/>
      <c r="BG18" s="28"/>
      <c r="BH18" s="6"/>
      <c r="BI18" s="2"/>
      <c r="BJ18" s="2"/>
      <c r="BK18" s="21"/>
      <c r="BL18" s="2"/>
      <c r="BM18" s="2"/>
      <c r="BN18" s="2"/>
      <c r="BO18" s="21"/>
      <c r="BP18" s="19"/>
      <c r="BQ18" s="2"/>
      <c r="BR18" s="112"/>
      <c r="BS18" s="59"/>
      <c r="BT18" s="65"/>
      <c r="BU18" s="48"/>
      <c r="BV18" s="19"/>
      <c r="BW18" s="2"/>
      <c r="BX18" s="2"/>
      <c r="BY18" s="30"/>
      <c r="BZ18" s="2"/>
      <c r="CA18" s="2"/>
      <c r="CB18" s="2"/>
      <c r="CC18" s="2"/>
      <c r="CD18" s="2"/>
      <c r="CE18" s="2"/>
      <c r="CF18" s="2"/>
      <c r="CG18" s="2"/>
      <c r="CH18" s="34"/>
      <c r="CI18" s="2"/>
      <c r="CJ18" s="2"/>
      <c r="CK18" s="2"/>
      <c r="CL18" s="2"/>
      <c r="CM18" s="2"/>
      <c r="CN18" s="19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12.75">
      <c r="A19" s="4"/>
      <c r="B19" s="2"/>
      <c r="C19" s="2"/>
      <c r="D19" s="2"/>
      <c r="E19" s="6"/>
      <c r="F19" s="6"/>
      <c r="G19" s="21"/>
      <c r="H19" s="6"/>
      <c r="I19" s="19"/>
      <c r="J19" s="2"/>
      <c r="K19" s="2"/>
      <c r="L19" s="2"/>
      <c r="M19" s="21"/>
      <c r="N19" s="21"/>
      <c r="O19" s="19"/>
      <c r="P19" s="19"/>
      <c r="Q19" s="19"/>
      <c r="R19" s="31"/>
      <c r="S19" s="19"/>
      <c r="T19" s="19"/>
      <c r="U19" s="2"/>
      <c r="V19" s="2"/>
      <c r="W19" s="21"/>
      <c r="X19" s="6"/>
      <c r="Y19" s="19"/>
      <c r="Z19" s="22"/>
      <c r="AA19" s="2"/>
      <c r="AB19" s="2"/>
      <c r="AC19" s="21"/>
      <c r="AD19" s="2"/>
      <c r="AE19" s="21"/>
      <c r="AF19" s="4"/>
      <c r="AG19" s="23"/>
      <c r="AH19" s="2"/>
      <c r="AI19" s="21"/>
      <c r="AJ19" s="24"/>
      <c r="AK19" s="19"/>
      <c r="AL19" s="2"/>
      <c r="AM19" s="2"/>
      <c r="AN19" s="21"/>
      <c r="AO19" s="2"/>
      <c r="AP19" s="2"/>
      <c r="AQ19" s="2"/>
      <c r="AR19" s="2"/>
      <c r="AS19" s="5"/>
      <c r="AT19" s="19"/>
      <c r="AU19" s="19"/>
      <c r="AV19" s="2"/>
      <c r="AW19" s="2"/>
      <c r="AX19" s="2"/>
      <c r="AY19" s="2"/>
      <c r="AZ19" s="2"/>
      <c r="BA19" s="2"/>
      <c r="BB19" s="19"/>
      <c r="BC19" s="2"/>
      <c r="BD19" s="2"/>
      <c r="BE19" s="2"/>
      <c r="BF19" s="2"/>
      <c r="BG19" s="28"/>
      <c r="BH19" s="6"/>
      <c r="BI19" s="2"/>
      <c r="BJ19" s="2"/>
      <c r="BK19" s="21"/>
      <c r="BL19" s="2"/>
      <c r="BM19" s="2"/>
      <c r="BN19" s="2"/>
      <c r="BO19" s="21"/>
      <c r="BP19" s="19"/>
      <c r="BQ19" s="2"/>
      <c r="BR19" s="2"/>
      <c r="BS19" s="59"/>
      <c r="BT19" s="66"/>
      <c r="BU19" s="19"/>
      <c r="BV19" s="19"/>
      <c r="BW19" s="2"/>
      <c r="BX19" s="2"/>
      <c r="BY19" s="30"/>
      <c r="BZ19" s="2"/>
      <c r="CA19" s="2"/>
      <c r="CB19" s="2"/>
      <c r="CC19" s="2"/>
      <c r="CD19" s="2"/>
      <c r="CE19" s="2"/>
      <c r="CF19" s="2"/>
      <c r="CG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2.75">
      <c r="A20" s="4"/>
      <c r="B20" s="2"/>
      <c r="C20" s="2"/>
      <c r="D20" s="2"/>
      <c r="E20" s="6"/>
      <c r="F20" s="6"/>
      <c r="G20" s="21"/>
      <c r="H20" s="6"/>
      <c r="I20" s="19"/>
      <c r="J20" s="2"/>
      <c r="K20" s="2"/>
      <c r="L20" s="2"/>
      <c r="M20" s="21"/>
      <c r="N20" s="21"/>
      <c r="O20" s="19"/>
      <c r="P20" s="19"/>
      <c r="Q20" s="19"/>
      <c r="R20" s="31"/>
      <c r="S20" s="19"/>
      <c r="T20" s="19"/>
      <c r="U20" s="2"/>
      <c r="V20" s="2"/>
      <c r="W20" s="21"/>
      <c r="X20" s="6"/>
      <c r="Y20" s="19"/>
      <c r="Z20" s="22"/>
      <c r="AA20" s="2"/>
      <c r="AB20" s="2"/>
      <c r="AC20" s="21"/>
      <c r="AD20" s="2"/>
      <c r="AE20" s="21"/>
      <c r="AF20" s="4"/>
      <c r="AG20" s="23"/>
      <c r="AH20" s="2"/>
      <c r="AI20" s="21"/>
      <c r="AJ20" s="24"/>
      <c r="AK20" s="19"/>
      <c r="AL20" s="2"/>
      <c r="AM20" s="2"/>
      <c r="AN20" s="21"/>
      <c r="AO20" s="2"/>
      <c r="AP20" s="2"/>
      <c r="AQ20" s="2"/>
      <c r="AR20" s="2"/>
      <c r="AS20" s="5"/>
      <c r="AT20" s="19"/>
      <c r="AU20" s="19"/>
      <c r="AV20" s="2"/>
      <c r="AW20" s="2"/>
      <c r="AX20" s="2"/>
      <c r="AY20" s="2"/>
      <c r="AZ20" s="2"/>
      <c r="BA20" s="2"/>
      <c r="BB20" s="19"/>
      <c r="BC20" s="2"/>
      <c r="BD20" s="2"/>
      <c r="BE20" s="2"/>
      <c r="BF20" s="2"/>
      <c r="BG20" s="28"/>
      <c r="BH20" s="6"/>
      <c r="BI20" s="2"/>
      <c r="BJ20" s="2"/>
      <c r="BK20" s="21"/>
      <c r="BL20" s="2"/>
      <c r="BM20" s="2"/>
      <c r="BN20" s="2"/>
      <c r="BO20" s="21"/>
      <c r="BP20" s="19"/>
      <c r="BQ20" s="2"/>
      <c r="BR20" s="2"/>
      <c r="BS20" s="59"/>
      <c r="BT20" s="66"/>
      <c r="BU20" s="19"/>
      <c r="BV20" s="19"/>
      <c r="BW20" s="2"/>
      <c r="BX20" s="2"/>
      <c r="BY20" s="30"/>
      <c r="BZ20" s="2"/>
      <c r="CA20" s="2"/>
      <c r="CB20" s="2"/>
      <c r="CC20" s="2"/>
      <c r="CD20" s="2"/>
      <c r="CE20" s="2"/>
      <c r="CF20" s="2"/>
      <c r="CG20" s="2"/>
      <c r="CH20" s="58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12.75">
      <c r="A21" s="4"/>
      <c r="B21" s="2"/>
      <c r="C21" s="2"/>
      <c r="D21" s="2"/>
      <c r="E21" s="6"/>
      <c r="F21" s="6"/>
      <c r="G21" s="21"/>
      <c r="H21" s="6"/>
      <c r="I21" s="19"/>
      <c r="J21" s="2"/>
      <c r="K21" s="2"/>
      <c r="L21" s="2"/>
      <c r="M21" s="21"/>
      <c r="N21" s="21"/>
      <c r="O21" s="19"/>
      <c r="P21" s="19"/>
      <c r="Q21" s="19"/>
      <c r="R21" s="31"/>
      <c r="S21" s="19"/>
      <c r="T21" s="19"/>
      <c r="U21" s="2"/>
      <c r="V21" s="2"/>
      <c r="W21" s="21"/>
      <c r="X21" s="6"/>
      <c r="Y21" s="19"/>
      <c r="Z21" s="22"/>
      <c r="AA21" s="2"/>
      <c r="AB21" s="2"/>
      <c r="AC21" s="21"/>
      <c r="AD21" s="2"/>
      <c r="AE21" s="21"/>
      <c r="AF21" s="4"/>
      <c r="AG21" s="23"/>
      <c r="AH21" s="2"/>
      <c r="AI21" s="21"/>
      <c r="AJ21" s="24"/>
      <c r="AK21" s="19"/>
      <c r="AL21" s="2"/>
      <c r="AM21" s="2"/>
      <c r="AN21" s="21"/>
      <c r="AO21" s="2"/>
      <c r="AP21" s="2"/>
      <c r="AQ21" s="2"/>
      <c r="AR21" s="2"/>
      <c r="AS21" s="5"/>
      <c r="AT21" s="19"/>
      <c r="AU21" s="19"/>
      <c r="AV21" s="2"/>
      <c r="AW21" s="2"/>
      <c r="AX21" s="2"/>
      <c r="AY21" s="2"/>
      <c r="AZ21" s="2"/>
      <c r="BA21" s="2"/>
      <c r="BB21" s="19"/>
      <c r="BC21" s="2"/>
      <c r="BD21" s="2"/>
      <c r="BE21" s="2"/>
      <c r="BF21" s="2"/>
      <c r="BG21" s="28"/>
      <c r="BH21" s="6"/>
      <c r="BI21" s="2"/>
      <c r="BJ21" s="2"/>
      <c r="BK21" s="21"/>
      <c r="BL21" s="2"/>
      <c r="BM21" s="2"/>
      <c r="BN21" s="2"/>
      <c r="BO21" s="21"/>
      <c r="BP21" s="19"/>
      <c r="BQ21" s="2"/>
      <c r="BR21" s="2"/>
      <c r="BS21" s="59"/>
      <c r="BT21" s="66"/>
      <c r="BU21" s="19"/>
      <c r="BV21" s="19"/>
      <c r="BW21" s="2"/>
      <c r="BX21" s="2"/>
      <c r="BY21" s="30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2.75">
      <c r="A22" s="4"/>
      <c r="B22" s="2"/>
      <c r="C22" s="2"/>
      <c r="D22" s="2"/>
      <c r="E22" s="6"/>
      <c r="F22" s="6"/>
      <c r="G22" s="21"/>
      <c r="H22" s="6"/>
      <c r="I22" s="19"/>
      <c r="J22" s="2"/>
      <c r="K22" s="2"/>
      <c r="L22" s="2"/>
      <c r="M22" s="21"/>
      <c r="N22" s="21"/>
      <c r="O22" s="19"/>
      <c r="P22" s="19"/>
      <c r="Q22" s="19"/>
      <c r="R22" s="31"/>
      <c r="S22" s="19"/>
      <c r="T22" s="19"/>
      <c r="U22" s="2"/>
      <c r="V22" s="2"/>
      <c r="W22" s="21"/>
      <c r="X22" s="6"/>
      <c r="Y22" s="19"/>
      <c r="Z22" s="22"/>
      <c r="AA22" s="2"/>
      <c r="AB22" s="2"/>
      <c r="AC22" s="21"/>
      <c r="AD22" s="2"/>
      <c r="AE22" s="21"/>
      <c r="AF22" s="4"/>
      <c r="AG22" s="23"/>
      <c r="AH22" s="2"/>
      <c r="AI22" s="21"/>
      <c r="AJ22" s="24"/>
      <c r="AK22" s="19"/>
      <c r="AL22" s="2"/>
      <c r="AM22" s="2"/>
      <c r="AN22" s="21"/>
      <c r="AO22" s="2"/>
      <c r="AP22" s="2"/>
      <c r="AQ22" s="2"/>
      <c r="AR22" s="2"/>
      <c r="AS22" s="5"/>
      <c r="AT22" s="19"/>
      <c r="AU22" s="19"/>
      <c r="AV22" s="2"/>
      <c r="AW22" s="2"/>
      <c r="AX22" s="2"/>
      <c r="AY22" s="2"/>
      <c r="AZ22" s="2"/>
      <c r="BA22" s="2"/>
      <c r="BB22" s="19"/>
      <c r="BC22" s="2"/>
      <c r="BD22" s="2"/>
      <c r="BE22" s="2"/>
      <c r="BF22" s="2"/>
      <c r="BG22" s="28"/>
      <c r="BH22" s="6"/>
      <c r="BI22" s="2"/>
      <c r="BJ22" s="2"/>
      <c r="BK22" s="21"/>
      <c r="BL22" s="2"/>
      <c r="BM22" s="2"/>
      <c r="BN22" s="2"/>
      <c r="BO22" s="21"/>
      <c r="BP22" s="19"/>
      <c r="BQ22" s="2"/>
      <c r="BR22" s="2"/>
      <c r="BS22" s="59"/>
      <c r="BT22" s="66"/>
      <c r="BU22" s="19"/>
      <c r="BV22" s="19"/>
      <c r="BW22" s="2"/>
      <c r="BX22" s="2"/>
      <c r="BY22" s="30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2.75">
      <c r="A23" s="4"/>
      <c r="B23" s="2"/>
      <c r="C23" s="2"/>
      <c r="D23" s="2"/>
      <c r="E23" s="6"/>
      <c r="F23" s="6"/>
      <c r="G23" s="21"/>
      <c r="H23" s="6"/>
      <c r="I23" s="19"/>
      <c r="J23" s="2"/>
      <c r="K23" s="2"/>
      <c r="L23" s="2"/>
      <c r="M23" s="21"/>
      <c r="N23" s="21"/>
      <c r="O23" s="19"/>
      <c r="P23" s="19"/>
      <c r="Q23" s="19"/>
      <c r="R23" s="31"/>
      <c r="S23" s="19"/>
      <c r="T23" s="19"/>
      <c r="U23" s="2"/>
      <c r="V23" s="2"/>
      <c r="W23" s="21"/>
      <c r="X23" s="6"/>
      <c r="Y23" s="19"/>
      <c r="Z23" s="22"/>
      <c r="AA23" s="2"/>
      <c r="AB23" s="2"/>
      <c r="AC23" s="21"/>
      <c r="AD23" s="2"/>
      <c r="AE23" s="21"/>
      <c r="AF23" s="4"/>
      <c r="AG23" s="23"/>
      <c r="AH23" s="2"/>
      <c r="AI23" s="21"/>
      <c r="AJ23" s="24"/>
      <c r="AK23" s="19"/>
      <c r="AL23" s="2"/>
      <c r="AM23" s="2"/>
      <c r="AN23" s="21"/>
      <c r="AO23" s="2"/>
      <c r="AP23" s="2"/>
      <c r="AQ23" s="2"/>
      <c r="AR23" s="2"/>
      <c r="AS23" s="5"/>
      <c r="AT23" s="19"/>
      <c r="AU23" s="19"/>
      <c r="AV23" s="2"/>
      <c r="AW23" s="2"/>
      <c r="AX23" s="2"/>
      <c r="AY23" s="2"/>
      <c r="AZ23" s="2"/>
      <c r="BA23" s="2"/>
      <c r="BB23" s="19"/>
      <c r="BC23" s="2"/>
      <c r="BD23" s="2"/>
      <c r="BE23" s="2"/>
      <c r="BF23" s="2"/>
      <c r="BG23" s="28"/>
      <c r="BH23" s="6"/>
      <c r="BI23" s="2"/>
      <c r="BJ23" s="2"/>
      <c r="BK23" s="21"/>
      <c r="BL23" s="2"/>
      <c r="BM23" s="2"/>
      <c r="BN23" s="2"/>
      <c r="BO23" s="21"/>
      <c r="BP23" s="19"/>
      <c r="BQ23" s="2"/>
      <c r="BR23" s="2"/>
      <c r="BS23" s="59"/>
      <c r="BT23" s="66"/>
      <c r="BU23" s="19"/>
      <c r="BV23" s="19"/>
      <c r="BW23" s="2"/>
      <c r="BX23" s="2"/>
      <c r="BY23" s="30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2.75">
      <c r="A24" s="4"/>
      <c r="B24" s="2"/>
      <c r="C24" s="2"/>
      <c r="D24" s="2"/>
      <c r="E24" s="6"/>
      <c r="F24" s="6"/>
      <c r="G24" s="21"/>
      <c r="H24" s="6"/>
      <c r="I24" s="19"/>
      <c r="J24" s="2"/>
      <c r="K24" s="2"/>
      <c r="L24" s="2"/>
      <c r="M24" s="21"/>
      <c r="N24" s="21"/>
      <c r="O24" s="19"/>
      <c r="P24" s="19"/>
      <c r="Q24" s="19"/>
      <c r="R24" s="31"/>
      <c r="S24" s="19"/>
      <c r="T24" s="19"/>
      <c r="U24" s="2"/>
      <c r="V24" s="2"/>
      <c r="W24" s="21"/>
      <c r="X24" s="6"/>
      <c r="Y24" s="19"/>
      <c r="Z24" s="22"/>
      <c r="AA24" s="2"/>
      <c r="AB24" s="2"/>
      <c r="AC24" s="21"/>
      <c r="AD24" s="2"/>
      <c r="AE24" s="21"/>
      <c r="AF24" s="4"/>
      <c r="AG24" s="23"/>
      <c r="AH24" s="2"/>
      <c r="AI24" s="21"/>
      <c r="AJ24" s="24"/>
      <c r="AK24" s="19"/>
      <c r="AL24" s="2"/>
      <c r="AM24" s="2"/>
      <c r="AN24" s="21"/>
      <c r="AO24" s="2"/>
      <c r="AP24" s="2"/>
      <c r="AQ24" s="2"/>
      <c r="AR24" s="2"/>
      <c r="AS24" s="5"/>
      <c r="AT24" s="19"/>
      <c r="AU24" s="19"/>
      <c r="AV24" s="2"/>
      <c r="AW24" s="2"/>
      <c r="AX24" s="2"/>
      <c r="AY24" s="2"/>
      <c r="AZ24" s="2"/>
      <c r="BA24" s="2"/>
      <c r="BB24" s="19"/>
      <c r="BC24" s="2"/>
      <c r="BD24" s="2"/>
      <c r="BE24" s="2"/>
      <c r="BF24" s="2"/>
      <c r="BG24" s="28"/>
      <c r="BH24" s="6"/>
      <c r="BI24" s="2"/>
      <c r="BJ24" s="2"/>
      <c r="BK24" s="21"/>
      <c r="BL24" s="2"/>
      <c r="BM24" s="2"/>
      <c r="BN24" s="2"/>
      <c r="BO24" s="21"/>
      <c r="BP24" s="19"/>
      <c r="BQ24" s="2"/>
      <c r="BR24" s="2"/>
      <c r="BS24" s="59"/>
      <c r="BT24" s="66"/>
      <c r="BU24" s="19"/>
      <c r="BV24" s="19"/>
      <c r="BW24" s="2"/>
      <c r="BX24" s="2"/>
      <c r="BY24" s="30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12.75">
      <c r="A25" s="4"/>
      <c r="B25" s="2"/>
      <c r="C25" s="2"/>
      <c r="D25" s="2"/>
      <c r="E25" s="6"/>
      <c r="F25" s="6"/>
      <c r="G25" s="21"/>
      <c r="H25" s="6"/>
      <c r="I25" s="19"/>
      <c r="J25" s="2"/>
      <c r="K25" s="2"/>
      <c r="L25" s="2"/>
      <c r="M25" s="21"/>
      <c r="N25" s="21"/>
      <c r="O25" s="19"/>
      <c r="P25" s="19"/>
      <c r="Q25" s="19"/>
      <c r="R25" s="31"/>
      <c r="S25" s="19"/>
      <c r="T25" s="19"/>
      <c r="U25" s="2"/>
      <c r="V25" s="2"/>
      <c r="W25" s="21"/>
      <c r="X25" s="6"/>
      <c r="Y25" s="19"/>
      <c r="Z25" s="22"/>
      <c r="AA25" s="2"/>
      <c r="AB25" s="2"/>
      <c r="AC25" s="21"/>
      <c r="AD25" s="2"/>
      <c r="AE25" s="21"/>
      <c r="AF25" s="4"/>
      <c r="AG25" s="23"/>
      <c r="AH25" s="2"/>
      <c r="AI25" s="21"/>
      <c r="AJ25" s="24"/>
      <c r="AK25" s="19"/>
      <c r="AL25" s="2"/>
      <c r="AM25" s="2"/>
      <c r="AN25" s="21"/>
      <c r="AO25" s="2"/>
      <c r="AP25" s="2"/>
      <c r="AQ25" s="2"/>
      <c r="AR25" s="2"/>
      <c r="AS25" s="5"/>
      <c r="AT25" s="19"/>
      <c r="AU25" s="19"/>
      <c r="AV25" s="2"/>
      <c r="AW25" s="2"/>
      <c r="AX25" s="2"/>
      <c r="AY25" s="2"/>
      <c r="AZ25" s="2"/>
      <c r="BA25" s="2"/>
      <c r="BB25" s="19"/>
      <c r="BC25" s="2"/>
      <c r="BD25" s="2"/>
      <c r="BE25" s="2"/>
      <c r="BF25" s="2"/>
      <c r="BG25" s="28"/>
      <c r="BH25" s="6"/>
      <c r="BI25" s="2"/>
      <c r="BJ25" s="2"/>
      <c r="BK25" s="21"/>
      <c r="BL25" s="2"/>
      <c r="BM25" s="2"/>
      <c r="BN25" s="2"/>
      <c r="BO25" s="21"/>
      <c r="BP25" s="19"/>
      <c r="BQ25" s="2"/>
      <c r="BR25" s="2"/>
      <c r="BS25" s="59"/>
      <c r="BT25" s="66"/>
      <c r="BU25" s="19"/>
      <c r="BV25" s="19"/>
      <c r="BW25" s="2"/>
      <c r="BX25" s="2"/>
      <c r="BY25" s="30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2.75">
      <c r="A26" s="4"/>
      <c r="B26" s="2"/>
      <c r="C26" s="2"/>
      <c r="D26" s="2"/>
      <c r="E26" s="6"/>
      <c r="F26" s="6"/>
      <c r="G26" s="21"/>
      <c r="H26" s="6"/>
      <c r="I26" s="19"/>
      <c r="J26" s="2"/>
      <c r="K26" s="2"/>
      <c r="L26" s="2"/>
      <c r="M26" s="21"/>
      <c r="N26" s="21"/>
      <c r="O26" s="19"/>
      <c r="P26" s="19"/>
      <c r="Q26" s="19"/>
      <c r="R26" s="31"/>
      <c r="S26" s="19"/>
      <c r="T26" s="19"/>
      <c r="U26" s="2"/>
      <c r="V26" s="2"/>
      <c r="W26" s="21"/>
      <c r="X26" s="6"/>
      <c r="Y26" s="19"/>
      <c r="Z26" s="22"/>
      <c r="AA26" s="2"/>
      <c r="AB26" s="2"/>
      <c r="AC26" s="21"/>
      <c r="AD26" s="2"/>
      <c r="AE26" s="21"/>
      <c r="AF26" s="4"/>
      <c r="AG26" s="23"/>
      <c r="AH26" s="2"/>
      <c r="AI26" s="21"/>
      <c r="AJ26" s="24"/>
      <c r="AK26" s="19"/>
      <c r="AL26" s="2"/>
      <c r="AM26" s="2"/>
      <c r="AN26" s="21"/>
      <c r="AO26" s="2"/>
      <c r="AP26" s="2"/>
      <c r="AQ26" s="2"/>
      <c r="AR26" s="2"/>
      <c r="AS26" s="5"/>
      <c r="AT26" s="19"/>
      <c r="AU26" s="19"/>
      <c r="AV26" s="2"/>
      <c r="AW26" s="2"/>
      <c r="AX26" s="2"/>
      <c r="AY26" s="2"/>
      <c r="AZ26" s="2"/>
      <c r="BA26" s="2"/>
      <c r="BB26" s="19"/>
      <c r="BC26" s="2"/>
      <c r="BD26" s="2"/>
      <c r="BE26" s="2"/>
      <c r="BF26" s="2"/>
      <c r="BG26" s="28"/>
      <c r="BH26" s="6"/>
      <c r="BI26" s="2"/>
      <c r="BJ26" s="2"/>
      <c r="BK26" s="21"/>
      <c r="BL26" s="2"/>
      <c r="BM26" s="2"/>
      <c r="BN26" s="2"/>
      <c r="BO26" s="21"/>
      <c r="BP26" s="19"/>
      <c r="BQ26" s="2"/>
      <c r="BR26" s="2"/>
      <c r="BS26" s="59"/>
      <c r="BT26" s="66"/>
      <c r="BU26" s="19"/>
      <c r="BV26" s="19"/>
      <c r="BW26" s="2"/>
      <c r="BX26" s="2"/>
      <c r="BY26" s="30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ht="12.75">
      <c r="A27" s="4"/>
      <c r="B27" s="2"/>
      <c r="C27" s="2"/>
      <c r="D27" s="2"/>
      <c r="E27" s="6"/>
      <c r="F27" s="6"/>
      <c r="G27" s="21"/>
      <c r="H27" s="6"/>
      <c r="I27" s="19"/>
      <c r="J27" s="2"/>
      <c r="K27" s="2"/>
      <c r="L27" s="2"/>
      <c r="M27" s="21"/>
      <c r="N27" s="21"/>
      <c r="O27" s="19"/>
      <c r="P27" s="19"/>
      <c r="Q27" s="19"/>
      <c r="R27" s="31"/>
      <c r="S27" s="19"/>
      <c r="T27" s="19"/>
      <c r="U27" s="2"/>
      <c r="V27" s="2"/>
      <c r="W27" s="21"/>
      <c r="X27" s="6"/>
      <c r="Y27" s="19"/>
      <c r="Z27" s="22"/>
      <c r="AA27" s="2"/>
      <c r="AB27" s="2"/>
      <c r="AC27" s="21"/>
      <c r="AD27" s="2"/>
      <c r="AE27" s="21"/>
      <c r="AF27" s="4"/>
      <c r="AG27" s="23"/>
      <c r="AH27" s="2"/>
      <c r="AI27" s="21"/>
      <c r="AJ27" s="24"/>
      <c r="AK27" s="19"/>
      <c r="AL27" s="2"/>
      <c r="AM27" s="2"/>
      <c r="AN27" s="21"/>
      <c r="AO27" s="2"/>
      <c r="AP27" s="2"/>
      <c r="AQ27" s="2"/>
      <c r="AR27" s="2"/>
      <c r="AS27" s="5"/>
      <c r="AT27" s="19"/>
      <c r="AU27" s="19"/>
      <c r="AV27" s="2"/>
      <c r="AW27" s="2"/>
      <c r="AX27" s="2"/>
      <c r="AY27" s="2"/>
      <c r="AZ27" s="2"/>
      <c r="BA27" s="2"/>
      <c r="BB27" s="19"/>
      <c r="BC27" s="2"/>
      <c r="BD27" s="2"/>
      <c r="BE27" s="2"/>
      <c r="BF27" s="2"/>
      <c r="BG27" s="28"/>
      <c r="BH27" s="6"/>
      <c r="BI27" s="2"/>
      <c r="BJ27" s="2"/>
      <c r="BK27" s="21"/>
      <c r="BL27" s="2"/>
      <c r="BM27" s="2"/>
      <c r="BN27" s="2"/>
      <c r="BO27" s="21"/>
      <c r="BP27" s="19"/>
      <c r="BQ27" s="2"/>
      <c r="BR27" s="2"/>
      <c r="BS27" s="59"/>
      <c r="BT27" s="66"/>
      <c r="BU27" s="19"/>
      <c r="BV27" s="19"/>
      <c r="BW27" s="2"/>
      <c r="BX27" s="2"/>
      <c r="BY27" s="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71:86" ht="12.75">
      <c r="BS28" s="60"/>
      <c r="BT28" s="58"/>
      <c r="CH28" s="2"/>
    </row>
    <row r="29" spans="71:72" ht="12.75">
      <c r="BS29" s="60"/>
      <c r="BT29" s="58"/>
    </row>
    <row r="30" spans="71:72" ht="12.75">
      <c r="BS30" s="60"/>
      <c r="BT30" s="58"/>
    </row>
    <row r="31" spans="71:72" ht="12.75">
      <c r="BS31" s="60"/>
      <c r="BT31" s="58"/>
    </row>
    <row r="32" spans="71:72" ht="12.75">
      <c r="BS32" s="60"/>
      <c r="BT32" s="58"/>
    </row>
    <row r="33" spans="71:72" ht="12.75">
      <c r="BS33" s="60"/>
      <c r="BT33" s="58"/>
    </row>
    <row r="34" spans="71:72" ht="12.75">
      <c r="BS34" s="60"/>
      <c r="BT34" s="68"/>
    </row>
    <row r="35" spans="71:72" ht="12.75">
      <c r="BS35" s="60"/>
      <c r="BT35" s="68"/>
    </row>
    <row r="36" ht="12.75">
      <c r="BS36" s="60"/>
    </row>
    <row r="37" ht="12.75">
      <c r="BS37" s="60"/>
    </row>
    <row r="38" ht="12.75">
      <c r="BS38" s="60"/>
    </row>
    <row r="39" ht="12.75">
      <c r="BS39" s="60"/>
    </row>
    <row r="40" ht="12.75">
      <c r="BS40" s="60"/>
    </row>
    <row r="41" ht="12.75">
      <c r="BS41" s="60"/>
    </row>
    <row r="42" ht="12.75">
      <c r="BS42" s="60"/>
    </row>
    <row r="43" ht="12.75">
      <c r="BS43" s="60"/>
    </row>
    <row r="44" ht="12.75">
      <c r="BS44" s="60"/>
    </row>
    <row r="45" ht="12.75">
      <c r="BS45" s="60"/>
    </row>
    <row r="46" ht="12.75">
      <c r="BS46" s="60"/>
    </row>
    <row r="47" ht="12.75">
      <c r="BS47" s="60"/>
    </row>
    <row r="48" ht="12.75">
      <c r="BS48" s="60"/>
    </row>
    <row r="49" ht="12.75">
      <c r="BS49" s="60"/>
    </row>
    <row r="50" ht="12.75">
      <c r="BS50" s="60"/>
    </row>
    <row r="51" ht="12.75">
      <c r="BS51" s="60"/>
    </row>
    <row r="52" ht="12.75">
      <c r="BS52" s="60"/>
    </row>
    <row r="53" ht="12.75">
      <c r="BS53" s="60"/>
    </row>
    <row r="54" ht="12.75">
      <c r="BS54" s="60"/>
    </row>
    <row r="55" ht="12.75">
      <c r="BS55" s="60"/>
    </row>
    <row r="56" ht="12.75">
      <c r="BS56" s="60"/>
    </row>
    <row r="57" ht="12.75">
      <c r="BS57" s="60"/>
    </row>
    <row r="58" ht="12.75">
      <c r="BS58" s="60"/>
    </row>
    <row r="59" ht="12.75">
      <c r="BS59" s="60"/>
    </row>
    <row r="60" ht="12.75">
      <c r="BS60" s="60"/>
    </row>
    <row r="61" ht="12.75">
      <c r="BS61" s="60"/>
    </row>
    <row r="62" ht="12.75">
      <c r="BS62" s="60"/>
    </row>
    <row r="63" ht="12.75">
      <c r="BS63" s="60"/>
    </row>
    <row r="64" ht="12.75">
      <c r="BS64" s="60"/>
    </row>
    <row r="65" ht="12.75">
      <c r="BS65" s="60"/>
    </row>
    <row r="66" ht="12.75">
      <c r="BS66" s="60"/>
    </row>
    <row r="67" ht="12.75">
      <c r="BS67" s="60"/>
    </row>
  </sheetData>
  <sheetProtection/>
  <mergeCells count="32">
    <mergeCell ref="B2:R2"/>
    <mergeCell ref="AF2:AK2"/>
    <mergeCell ref="AL2:AP2"/>
    <mergeCell ref="AQ2:AU2"/>
    <mergeCell ref="AV2:AZ2"/>
    <mergeCell ref="BC2:BG2"/>
    <mergeCell ref="BM2:BP2"/>
    <mergeCell ref="A3:A4"/>
    <mergeCell ref="B3:I3"/>
    <mergeCell ref="J3:T3"/>
    <mergeCell ref="U3:Y3"/>
    <mergeCell ref="Z3:AE3"/>
    <mergeCell ref="AF3:AK3"/>
    <mergeCell ref="AL3:AP3"/>
    <mergeCell ref="AQ3:AU3"/>
    <mergeCell ref="AV3:BB3"/>
    <mergeCell ref="BC3:BH3"/>
    <mergeCell ref="BI3:BL3"/>
    <mergeCell ref="BM3:BP3"/>
    <mergeCell ref="BQ3:BV3"/>
    <mergeCell ref="BW3:BX3"/>
    <mergeCell ref="BY3:BZ3"/>
    <mergeCell ref="CT3:CT4"/>
    <mergeCell ref="B18:D18"/>
    <mergeCell ref="K18:O18"/>
    <mergeCell ref="BC18:BE18"/>
    <mergeCell ref="CA3:CG3"/>
    <mergeCell ref="CH3:CI3"/>
    <mergeCell ref="CJ3:CM3"/>
    <mergeCell ref="CN3:CO3"/>
    <mergeCell ref="CP3:CQ3"/>
    <mergeCell ref="CR3:CS3"/>
  </mergeCells>
  <printOptions/>
  <pageMargins left="0.5118110236220472" right="0.31496062992125984" top="0.7480314960629921" bottom="0.7480314960629921" header="0.31496062992125984" footer="0.31496062992125984"/>
  <pageSetup fitToWidth="16" fitToHeight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Поломкина</cp:lastModifiedBy>
  <cp:lastPrinted>2013-01-28T12:24:12Z</cp:lastPrinted>
  <dcterms:created xsi:type="dcterms:W3CDTF">2009-01-27T10:52:16Z</dcterms:created>
  <dcterms:modified xsi:type="dcterms:W3CDTF">2013-01-28T12:25:05Z</dcterms:modified>
  <cp:category/>
  <cp:version/>
  <cp:contentType/>
  <cp:contentStatus/>
</cp:coreProperties>
</file>